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tari" sheetId="1" state="visible" r:id="rId1"/>
    <sheet xmlns:r="http://schemas.openxmlformats.org/officeDocument/2006/relationships" name="Personal" sheetId="2" state="visible" r:id="rId2"/>
    <sheet xmlns:r="http://schemas.openxmlformats.org/officeDocument/2006/relationships" name="Pontaj" sheetId="3" state="visible" r:id="rId3"/>
    <sheet xmlns:r="http://schemas.openxmlformats.org/officeDocument/2006/relationships" name="Stat de plata" sheetId="4" state="visible" r:id="rId4"/>
  </sheets>
  <definedNames>
    <definedName name="Articole">Setari!$D$4:$D$15</definedName>
    <definedName name="_xlnm.Print_Titles" localSheetId="2">'Pontaj'!$1:$3</definedName>
    <definedName name="_xlnm.Print_Titles" localSheetId="3">'Stat de plata'!$1:$4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DD.MM.YYYY"/>
  </numFmts>
  <fonts count="8">
    <font>
      <name val="Calibri"/>
      <family val="2"/>
      <color theme="1"/>
      <sz val="11"/>
      <scheme val="minor"/>
    </font>
    <font>
      <name val="Calibri"/>
      <b val="1"/>
      <color rgb="001F3864"/>
      <sz val="14"/>
    </font>
    <font>
      <name val="Calibri"/>
      <i val="1"/>
      <color rgb="00666666"/>
      <sz val="9"/>
    </font>
    <font>
      <name val="Calibri"/>
      <b val="1"/>
      <color rgb="001F3864"/>
      <sz val="10"/>
    </font>
    <font>
      <name val="Calibri"/>
      <sz val="10"/>
    </font>
    <font>
      <name val="Calibri"/>
      <b val="1"/>
      <color rgb="00FFFFFF"/>
      <sz val="10"/>
    </font>
    <font>
      <name val="Calibri"/>
      <sz val="9"/>
    </font>
    <font>
      <name val="Calibri"/>
      <b val="1"/>
      <color rgb="00FFFFFF"/>
      <sz val="9"/>
    </font>
  </fonts>
  <fills count="8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D6E4F0"/>
        <bgColor rgb="00D6E4F0"/>
      </patternFill>
    </fill>
    <fill>
      <patternFill patternType="solid">
        <fgColor rgb="00FFFACD"/>
        <bgColor rgb="00FFFACD"/>
      </patternFill>
    </fill>
    <fill>
      <patternFill patternType="solid">
        <fgColor rgb="001F3864"/>
        <bgColor rgb="001F3864"/>
      </patternFill>
    </fill>
    <fill>
      <patternFill patternType="solid">
        <fgColor rgb="00F2F2F2"/>
        <bgColor rgb="00F2F2F2"/>
      </patternFill>
    </fill>
    <fill>
      <patternFill patternType="solid">
        <fgColor rgb="002E75B6"/>
        <bgColor rgb="002E75B6"/>
      </patternFill>
    </fill>
  </fills>
  <borders count="9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 style="thin">
        <color rgb="00BFBFBF"/>
      </left>
      <right/>
      <top/>
      <bottom/>
      <diagonal/>
    </border>
    <border>
      <left style="thin">
        <color rgb="00BFBFBF"/>
      </left>
      <right style="thin">
        <color rgb="00BFBFBF"/>
      </right>
      <top/>
      <bottom/>
      <diagonal/>
    </border>
    <border>
      <left style="thin">
        <color rgb="00BFBFBF"/>
      </left>
      <right style="thin">
        <color rgb="00BFBFBF"/>
      </right>
      <top/>
      <bottom style="thin">
        <color rgb="00BFBFBF"/>
      </bottom>
      <diagonal/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0" borderId="1" pivotButton="0" quotePrefix="0" xfId="0"/>
    <xf numFmtId="0" fontId="5" fillId="5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applyProtection="1" pivotButton="0" quotePrefix="0" xfId="0">
      <alignment horizontal="center" vertical="center" wrapText="1"/>
      <protection locked="0" hidden="0"/>
    </xf>
    <xf numFmtId="0" fontId="6" fillId="6" borderId="1" applyAlignment="1" pivotButton="0" quotePrefix="0" xfId="0">
      <alignment horizontal="left" vertical="center" wrapText="1"/>
    </xf>
    <xf numFmtId="1" fontId="4" fillId="4" borderId="1" applyAlignment="1" applyProtection="1" pivotButton="0" quotePrefix="0" xfId="0">
      <alignment horizontal="center" vertical="center" wrapText="1"/>
      <protection locked="0" hidden="0"/>
    </xf>
    <xf numFmtId="3" fontId="4" fillId="4" borderId="1" applyAlignment="1" applyProtection="1" pivotButton="0" quotePrefix="0" xfId="0">
      <alignment horizontal="center" vertical="center" wrapText="1"/>
      <protection locked="0" hidden="0"/>
    </xf>
    <xf numFmtId="164" fontId="4" fillId="4" borderId="1" applyAlignment="1" applyProtection="1" pivotButton="0" quotePrefix="0" xfId="0">
      <alignment horizontal="center" vertical="center" wrapText="1"/>
      <protection locked="0" hidden="0"/>
    </xf>
    <xf numFmtId="0" fontId="1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165" fontId="4" fillId="4" borderId="1" applyAlignment="1" applyProtection="1" pivotButton="0" quotePrefix="0" xfId="0">
      <alignment horizontal="center" vertical="center" wrapText="1"/>
      <protection locked="0" hidden="0"/>
    </xf>
    <xf numFmtId="0" fontId="7" fillId="7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" fontId="6" fillId="3" borderId="1" applyAlignment="1" pivotButton="0" quotePrefix="0" xfId="0">
      <alignment horizontal="center" vertical="center" wrapText="1"/>
    </xf>
    <xf numFmtId="0" fontId="4" fillId="2" borderId="1" applyAlignment="1" applyProtection="1" pivotButton="0" quotePrefix="0" xfId="0">
      <alignment horizontal="center" vertical="center" wrapText="1"/>
      <protection locked="0" hidden="0"/>
    </xf>
    <xf numFmtId="3" fontId="3" fillId="6" borderId="1" applyAlignment="1" pivotButton="0" quotePrefix="0" xfId="0">
      <alignment horizontal="center" vertical="center" wrapText="1"/>
    </xf>
    <xf numFmtId="1" fontId="3" fillId="6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center" vertical="center" wrapText="1"/>
    </xf>
    <xf numFmtId="0" fontId="0" fillId="0" borderId="7" pivotButton="0" quotePrefix="0" xfId="0"/>
    <xf numFmtId="0" fontId="0" fillId="0" borderId="8" pivotButton="0" quotePrefix="0" xfId="0"/>
    <xf numFmtId="0" fontId="7" fillId="7" borderId="1" applyAlignment="1" pivotButton="0" quotePrefix="0" xfId="0">
      <alignment horizontal="center" vertical="center" textRotation="90"/>
    </xf>
    <xf numFmtId="0" fontId="6" fillId="3" borderId="1" applyAlignment="1" pivotButton="0" quotePrefix="0" xfId="0">
      <alignment horizontal="left" vertical="center" wrapText="1"/>
    </xf>
    <xf numFmtId="1" fontId="6" fillId="3" borderId="1" applyAlignment="1" pivotButton="0" quotePrefix="0" xfId="0">
      <alignment horizontal="right" vertical="center"/>
    </xf>
    <xf numFmtId="3" fontId="6" fillId="3" borderId="1" applyAlignment="1" pivotButton="0" quotePrefix="0" xfId="0">
      <alignment horizontal="right" vertical="center"/>
    </xf>
    <xf numFmtId="1" fontId="6" fillId="4" borderId="1" applyAlignment="1" applyProtection="1" pivotButton="0" quotePrefix="0" xfId="0">
      <alignment horizontal="right" vertical="center"/>
      <protection locked="0" hidden="0"/>
    </xf>
    <xf numFmtId="3" fontId="6" fillId="4" borderId="1" applyAlignment="1" applyProtection="1" pivotButton="0" quotePrefix="0" xfId="0">
      <alignment horizontal="right" vertical="center"/>
      <protection locked="0" hidden="0"/>
    </xf>
    <xf numFmtId="0" fontId="6" fillId="4" borderId="1" applyAlignment="1" applyProtection="1" pivotButton="0" quotePrefix="0" xfId="0">
      <alignment horizontal="right" vertical="center"/>
      <protection locked="0" hidden="0"/>
    </xf>
    <xf numFmtId="1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E2EFDA"/>
          <bgColor rgb="00E2EFDA"/>
        </patternFill>
      </fill>
    </dxf>
    <dxf>
      <fill>
        <patternFill patternType="solid">
          <fgColor rgb="00D9D9D9"/>
          <bgColor rgb="00D9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3864"/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3" customWidth="1" min="3" max="3"/>
    <col width="38" customWidth="1" min="4" max="4"/>
  </cols>
  <sheetData>
    <row r="1" ht="30" customHeight="1">
      <c r="A1" s="1" t="inlineStr">
        <is>
          <t>CALCUL SALARII — Setari firma</t>
        </is>
      </c>
    </row>
    <row r="2">
      <c r="A2" s="2" t="inlineStr">
        <is>
          <t>Versiune gratuita — max 10 salariati. Celulele galbene sunt editabile.</t>
        </is>
      </c>
    </row>
    <row r="3">
      <c r="D3" s="3" t="inlineStr">
        <is>
          <t>Articole incetare CIM</t>
        </is>
      </c>
    </row>
    <row r="4">
      <c r="A4" s="4" t="inlineStr">
        <is>
          <t>Nume firma</t>
        </is>
      </c>
      <c r="B4" s="5" t="inlineStr"/>
      <c r="D4" s="6" t="inlineStr">
        <is>
          <t>Art.31(1) - Perioada de proba</t>
        </is>
      </c>
    </row>
    <row r="5">
      <c r="A5" s="4" t="inlineStr">
        <is>
          <t>Luna</t>
        </is>
      </c>
      <c r="B5" s="7" t="n">
        <v>4</v>
      </c>
      <c r="D5" s="6" t="inlineStr">
        <is>
          <t>Art.55 a) - Acordul partilor</t>
        </is>
      </c>
    </row>
    <row r="6">
      <c r="A6" s="4" t="inlineStr">
        <is>
          <t>Anul</t>
        </is>
      </c>
      <c r="B6" s="7" t="n">
        <v>2026</v>
      </c>
      <c r="D6" s="6" t="inlineStr">
        <is>
          <t>Art.55 b) - Termen expirat</t>
        </is>
      </c>
    </row>
    <row r="7">
      <c r="A7" s="4" t="inlineStr">
        <is>
          <t>Salar minim brut (RON)</t>
        </is>
      </c>
      <c r="B7" s="8" t="n">
        <v>4050</v>
      </c>
      <c r="D7" s="6" t="inlineStr">
        <is>
          <t>Art.56 a) - Deces salariat</t>
        </is>
      </c>
    </row>
    <row r="8">
      <c r="A8" s="4" t="inlineStr">
        <is>
          <t>Zile lucratoare luna</t>
        </is>
      </c>
      <c r="B8" s="7" t="n">
        <v>22</v>
      </c>
      <c r="D8" s="6" t="inlineStr">
        <is>
          <t>Art.56 i) - Pensionare</t>
        </is>
      </c>
    </row>
    <row r="9">
      <c r="A9" s="4" t="inlineStr">
        <is>
          <t>Scutire neimp (RON)</t>
        </is>
      </c>
      <c r="B9" s="8" t="n">
        <v>300</v>
      </c>
      <c r="D9" s="6" t="inlineStr">
        <is>
          <t>Art.61 a) - Abatere grava</t>
        </is>
      </c>
    </row>
    <row r="10">
      <c r="A10" s="4" t="inlineStr">
        <is>
          <t>Procent CAS %</t>
        </is>
      </c>
      <c r="B10" s="9" t="n">
        <v>25</v>
      </c>
      <c r="D10" s="6" t="inlineStr">
        <is>
          <t>Art.61 b) - Arest preventiv &gt;30z</t>
        </is>
      </c>
    </row>
    <row r="11">
      <c r="A11" s="4" t="inlineStr">
        <is>
          <t>Procent CASS %</t>
        </is>
      </c>
      <c r="B11" s="9" t="n">
        <v>10</v>
      </c>
      <c r="D11" s="6" t="inlineStr">
        <is>
          <t>Art.61 c) - Inaptitudine fizica/psihica</t>
        </is>
      </c>
    </row>
    <row r="12">
      <c r="A12" s="4" t="inlineStr">
        <is>
          <t>Procent Impozit %</t>
        </is>
      </c>
      <c r="B12" s="9" t="n">
        <v>10</v>
      </c>
      <c r="D12" s="6" t="inlineStr">
        <is>
          <t>Art.61 d) - Necorespundere profesionala</t>
        </is>
      </c>
    </row>
    <row r="13">
      <c r="A13" s="4" t="inlineStr">
        <is>
          <t>Procent spor weekend %</t>
        </is>
      </c>
      <c r="B13" s="9" t="n">
        <v>100</v>
      </c>
      <c r="D13" s="6" t="inlineStr">
        <is>
          <t>Art.65 - Desfiintare post</t>
        </is>
      </c>
    </row>
    <row r="14">
      <c r="A14" s="4" t="inlineStr">
        <is>
          <t>Tip spor weekend</t>
        </is>
      </c>
      <c r="B14" s="5" t="inlineStr">
        <is>
          <t>L</t>
        </is>
      </c>
      <c r="D14" s="6" t="inlineStr">
        <is>
          <t>Art.81 - Demisie</t>
        </is>
      </c>
    </row>
    <row r="15">
      <c r="D15" s="6" t="inlineStr">
        <is>
          <t>Art.56 j) - Forta majora</t>
        </is>
      </c>
    </row>
    <row r="16">
      <c r="A16" s="2" t="inlineStr">
        <is>
          <t>L = spor calculat pe ora lucrata in weekend</t>
        </is>
      </c>
    </row>
    <row r="17">
      <c r="A17" s="2" t="inlineStr">
        <is>
          <t>R = spor ca procent din realizat</t>
        </is>
      </c>
    </row>
    <row r="18">
      <c r="A18" s="2" t="inlineStr">
        <is>
          <t>B = spor ca procent din baza incadrare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0D0"/>
  <mergeCells count="2">
    <mergeCell ref="A2:D2"/>
    <mergeCell ref="A1:B1"/>
  </mergeCells>
  <dataValidations count="2">
    <dataValidation sqref="B14" showDropDown="0" showInputMessage="0" showErrorMessage="1" allowBlank="0" errorTitle="Tip invalid" error="Alegeti: L=pe ora lucrata, R=pe realizat, B=pe baza" type="list">
      <formula1>"L,R,B"</formula1>
    </dataValidation>
    <dataValidation sqref="B5" showDropDown="0" showInputMessage="0" showErrorMessage="1" allowBlank="0" errorTitle="Luna invalida" error="Introduceti 1-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75B6"/>
    <outlinePr summaryBelow="1" summaryRight="1"/>
    <pageSetUpPr/>
  </sheetPr>
  <dimension ref="A1:K14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4" customWidth="1" min="4" max="4"/>
    <col width="14" customWidth="1" min="5" max="5"/>
    <col width="30" customWidth="1" min="6" max="6"/>
    <col width="7" customWidth="1" min="7" max="7"/>
    <col width="13" customWidth="1" min="8" max="8"/>
    <col width="10" customWidth="1" min="9" max="9"/>
    <col width="10" customWidth="1" min="10" max="10"/>
    <col width="13" customWidth="1" min="11" max="11"/>
  </cols>
  <sheetData>
    <row r="1" ht="28" customHeight="1">
      <c r="A1" s="10" t="inlineStr">
        <is>
          <t>PERSONAL</t>
        </is>
      </c>
    </row>
    <row r="2" ht="32" customHeight="1">
      <c r="A2" s="3" t="inlineStr">
        <is>
          <t>Nr.</t>
        </is>
      </c>
      <c r="B2" s="3" t="inlineStr">
        <is>
          <t>Nume si prenume</t>
        </is>
      </c>
      <c r="C2" s="3" t="inlineStr">
        <is>
          <t>CNP</t>
        </is>
      </c>
      <c r="D2" s="3" t="inlineStr">
        <is>
          <t>Data angajarii</t>
        </is>
      </c>
      <c r="E2" s="3" t="inlineStr">
        <is>
          <t>Data plecarii</t>
        </is>
      </c>
      <c r="F2" s="3" t="inlineStr">
        <is>
          <t>Art. incetare</t>
        </is>
      </c>
      <c r="G2" s="3" t="inlineStr">
        <is>
          <t>Ore/zi</t>
        </is>
      </c>
      <c r="H2" s="3" t="inlineStr">
        <is>
          <t>Salariu baza</t>
        </is>
      </c>
      <c r="I2" s="3" t="inlineStr">
        <is>
          <t>Spor vech. %</t>
        </is>
      </c>
      <c r="J2" s="3" t="inlineStr">
        <is>
          <t>Nr.pers.intr.</t>
        </is>
      </c>
      <c r="K2" s="3" t="inlineStr">
        <is>
          <t>Val.tichet masa</t>
        </is>
      </c>
    </row>
    <row r="3" ht="22" customHeight="1">
      <c r="A3" s="11" t="n">
        <v>1</v>
      </c>
      <c r="B3" s="5" t="n"/>
      <c r="C3" s="7" t="n"/>
      <c r="D3" s="12" t="n"/>
      <c r="E3" s="12" t="n"/>
      <c r="F3" s="5" t="n"/>
      <c r="G3" s="7" t="n">
        <v>8</v>
      </c>
      <c r="H3" s="8" t="n"/>
      <c r="I3" s="9" t="n"/>
      <c r="J3" s="7" t="n"/>
      <c r="K3" s="8" t="n"/>
    </row>
    <row r="4" ht="22" customHeight="1">
      <c r="A4" s="11" t="n">
        <v>2</v>
      </c>
      <c r="B4" s="5" t="n"/>
      <c r="C4" s="7" t="n"/>
      <c r="D4" s="12" t="n"/>
      <c r="E4" s="12" t="n"/>
      <c r="F4" s="5" t="n"/>
      <c r="G4" s="7" t="n">
        <v>8</v>
      </c>
      <c r="H4" s="8" t="n"/>
      <c r="I4" s="9" t="n"/>
      <c r="J4" s="7" t="n"/>
      <c r="K4" s="8" t="n"/>
    </row>
    <row r="5" ht="22" customHeight="1">
      <c r="A5" s="11" t="n">
        <v>3</v>
      </c>
      <c r="B5" s="5" t="n"/>
      <c r="C5" s="7" t="n"/>
      <c r="D5" s="12" t="n"/>
      <c r="E5" s="12" t="n"/>
      <c r="F5" s="5" t="n"/>
      <c r="G5" s="7" t="n">
        <v>8</v>
      </c>
      <c r="H5" s="8" t="n"/>
      <c r="I5" s="9" t="n"/>
      <c r="J5" s="7" t="n"/>
      <c r="K5" s="8" t="n"/>
    </row>
    <row r="6" ht="22" customHeight="1">
      <c r="A6" s="11" t="n">
        <v>4</v>
      </c>
      <c r="B6" s="5" t="n"/>
      <c r="C6" s="7" t="n"/>
      <c r="D6" s="12" t="n"/>
      <c r="E6" s="12" t="n"/>
      <c r="F6" s="5" t="n"/>
      <c r="G6" s="7" t="n">
        <v>8</v>
      </c>
      <c r="H6" s="8" t="n"/>
      <c r="I6" s="9" t="n"/>
      <c r="J6" s="7" t="n"/>
      <c r="K6" s="8" t="n"/>
    </row>
    <row r="7" ht="22" customHeight="1">
      <c r="A7" s="11" t="n">
        <v>5</v>
      </c>
      <c r="B7" s="5" t="n"/>
      <c r="C7" s="7" t="n"/>
      <c r="D7" s="12" t="n"/>
      <c r="E7" s="12" t="n"/>
      <c r="F7" s="5" t="n"/>
      <c r="G7" s="7" t="n">
        <v>8</v>
      </c>
      <c r="H7" s="8" t="n"/>
      <c r="I7" s="9" t="n"/>
      <c r="J7" s="7" t="n"/>
      <c r="K7" s="8" t="n"/>
    </row>
    <row r="8" ht="22" customHeight="1">
      <c r="A8" s="11" t="n">
        <v>6</v>
      </c>
      <c r="B8" s="5" t="n"/>
      <c r="C8" s="7" t="n"/>
      <c r="D8" s="12" t="n"/>
      <c r="E8" s="12" t="n"/>
      <c r="F8" s="5" t="n"/>
      <c r="G8" s="7" t="n">
        <v>8</v>
      </c>
      <c r="H8" s="8" t="n"/>
      <c r="I8" s="9" t="n"/>
      <c r="J8" s="7" t="n"/>
      <c r="K8" s="8" t="n"/>
    </row>
    <row r="9" ht="22" customHeight="1">
      <c r="A9" s="11" t="n">
        <v>7</v>
      </c>
      <c r="B9" s="5" t="n"/>
      <c r="C9" s="7" t="n"/>
      <c r="D9" s="12" t="n"/>
      <c r="E9" s="12" t="n"/>
      <c r="F9" s="5" t="n"/>
      <c r="G9" s="7" t="n">
        <v>8</v>
      </c>
      <c r="H9" s="8" t="n"/>
      <c r="I9" s="9" t="n"/>
      <c r="J9" s="7" t="n"/>
      <c r="K9" s="8" t="n"/>
    </row>
    <row r="10" ht="22" customHeight="1">
      <c r="A10" s="11" t="n">
        <v>8</v>
      </c>
      <c r="B10" s="5" t="n"/>
      <c r="C10" s="7" t="n"/>
      <c r="D10" s="12" t="n"/>
      <c r="E10" s="12" t="n"/>
      <c r="F10" s="5" t="n"/>
      <c r="G10" s="7" t="n">
        <v>8</v>
      </c>
      <c r="H10" s="8" t="n"/>
      <c r="I10" s="9" t="n"/>
      <c r="J10" s="7" t="n"/>
      <c r="K10" s="8" t="n"/>
    </row>
    <row r="11" ht="22" customHeight="1">
      <c r="A11" s="11" t="n">
        <v>9</v>
      </c>
      <c r="B11" s="5" t="n"/>
      <c r="C11" s="7" t="n"/>
      <c r="D11" s="12" t="n"/>
      <c r="E11" s="12" t="n"/>
      <c r="F11" s="5" t="n"/>
      <c r="G11" s="7" t="n">
        <v>8</v>
      </c>
      <c r="H11" s="8" t="n"/>
      <c r="I11" s="9" t="n"/>
      <c r="J11" s="7" t="n"/>
      <c r="K11" s="8" t="n"/>
    </row>
    <row r="12" ht="22" customHeight="1">
      <c r="A12" s="11" t="n">
        <v>10</v>
      </c>
      <c r="B12" s="5" t="n"/>
      <c r="C12" s="7" t="n"/>
      <c r="D12" s="12" t="n"/>
      <c r="E12" s="12" t="n"/>
      <c r="F12" s="5" t="n"/>
      <c r="G12" s="7" t="n">
        <v>8</v>
      </c>
      <c r="H12" s="8" t="n"/>
      <c r="I12" s="9" t="n"/>
      <c r="J12" s="7" t="n"/>
      <c r="K12" s="8" t="n"/>
    </row>
    <row r="14">
      <c r="A14" s="2" t="inlineStr">
        <is>
          <t>Pentru a sterge o persoana: selectati celulele B-K de pe randul respectiv si apasati Delete. Pontajul si statul se actualizeaza automat.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0D0"/>
  <mergeCells count="2">
    <mergeCell ref="A14:K14"/>
    <mergeCell ref="A1:K1"/>
  </mergeCells>
  <dataValidations count="4">
    <dataValidation sqref="C3:C12" showDropDown="0" showInputMessage="0" showErrorMessage="1" allowBlank="1" errorTitle="CNP duplicat" error="Acest CNP exista deja in tabel. Fiecare persoana trebuie sa aiba CNP unic." type="custom">
      <formula1>=OR(C3="",COUNTIF($C$3:$C$12,C3)=1)</formula1>
    </dataValidation>
    <dataValidation sqref="F3:F12" showDropDown="0" showInputMessage="1" showErrorMessage="0" allowBlank="1" promptTitle="Articol incetare" prompt="Selectati articolul de incetare CIM" type="list">
      <formula1>=Articole</formula1>
    </dataValidation>
    <dataValidation sqref="G3:G12" showDropDown="0" showInputMessage="0" showErrorMessage="1" allowBlank="0" errorTitle="Ore invalide" error="Introduceti ore/zi intre 1 si 24" type="whole" operator="between">
      <formula1>1</formula1>
      <formula2>24</formula2>
    </dataValidation>
    <dataValidation sqref="J3:J12" showDropDown="0" showInputMessage="0" showErrorMessage="1" allowBlank="0" errorTitle="Numar invalid" error="Introduceti 0-10" type="whole" operator="between">
      <formula1>0</formula1>
      <formula2>10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AN14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0" customWidth="1" min="2" max="2"/>
    <col width="15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4" customWidth="1" min="34" max="34"/>
    <col width="8" customWidth="1" min="35" max="35"/>
    <col width="8" customWidth="1" min="36" max="36"/>
    <col width="8" customWidth="1" min="37" max="37"/>
    <col width="8" customWidth="1" min="38" max="38"/>
    <col width="8" customWidth="1" min="39" max="39"/>
    <col width="8" customWidth="1" min="40" max="40"/>
  </cols>
  <sheetData>
    <row r="1" ht="28" customHeight="1">
      <c r="A1" s="10">
        <f>IF(Setari!B4="","PONTAJ","PONTAJ LUNA "&amp;TEXT(Setari!B5,"00")&amp;"/"&amp;Setari!B6&amp;" — "&amp;Setari!B4)</f>
        <v/>
      </c>
    </row>
    <row r="2" ht="6" customHeight="1"/>
    <row r="3" ht="30" customHeight="1">
      <c r="A3" s="3" t="inlineStr">
        <is>
          <t>Nr</t>
        </is>
      </c>
      <c r="B3" s="3" t="inlineStr">
        <is>
          <t>Nume si prenume</t>
        </is>
      </c>
      <c r="C3" s="3" t="inlineStr">
        <is>
          <t>CNP</t>
        </is>
      </c>
      <c r="D3" s="13" t="n">
        <v>1</v>
      </c>
      <c r="E3" s="13" t="n">
        <v>2</v>
      </c>
      <c r="F3" s="13" t="n">
        <v>3</v>
      </c>
      <c r="G3" s="13" t="n">
        <v>4</v>
      </c>
      <c r="H3" s="13" t="n">
        <v>5</v>
      </c>
      <c r="I3" s="13" t="n">
        <v>6</v>
      </c>
      <c r="J3" s="13" t="n">
        <v>7</v>
      </c>
      <c r="K3" s="13" t="n">
        <v>8</v>
      </c>
      <c r="L3" s="13" t="n">
        <v>9</v>
      </c>
      <c r="M3" s="13" t="n">
        <v>10</v>
      </c>
      <c r="N3" s="13" t="n">
        <v>11</v>
      </c>
      <c r="O3" s="13" t="n">
        <v>12</v>
      </c>
      <c r="P3" s="13" t="n">
        <v>13</v>
      </c>
      <c r="Q3" s="13" t="n">
        <v>14</v>
      </c>
      <c r="R3" s="13" t="n">
        <v>15</v>
      </c>
      <c r="S3" s="13" t="n">
        <v>16</v>
      </c>
      <c r="T3" s="13" t="n">
        <v>17</v>
      </c>
      <c r="U3" s="13" t="n">
        <v>18</v>
      </c>
      <c r="V3" s="13" t="n">
        <v>19</v>
      </c>
      <c r="W3" s="13" t="n">
        <v>20</v>
      </c>
      <c r="X3" s="13" t="n">
        <v>21</v>
      </c>
      <c r="Y3" s="13" t="n">
        <v>22</v>
      </c>
      <c r="Z3" s="13" t="n">
        <v>23</v>
      </c>
      <c r="AA3" s="13" t="n">
        <v>24</v>
      </c>
      <c r="AB3" s="13" t="n">
        <v>25</v>
      </c>
      <c r="AC3" s="13" t="n">
        <v>26</v>
      </c>
      <c r="AD3" s="13" t="n">
        <v>27</v>
      </c>
      <c r="AE3" s="13" t="n">
        <v>28</v>
      </c>
      <c r="AF3" s="13" t="n">
        <v>29</v>
      </c>
      <c r="AG3" s="13" t="n">
        <v>30</v>
      </c>
      <c r="AH3" s="13" t="n">
        <v>31</v>
      </c>
      <c r="AI3" s="3" t="inlineStr">
        <is>
          <t>Ore
total</t>
        </is>
      </c>
      <c r="AJ3" s="3" t="inlineStr">
        <is>
          <t>Ore
wknd</t>
        </is>
      </c>
      <c r="AK3" s="3" t="inlineStr">
        <is>
          <t>Ore
supl.</t>
        </is>
      </c>
      <c r="AL3" s="3" t="inlineStr">
        <is>
          <t>Zile
lucr.</t>
        </is>
      </c>
      <c r="AM3" s="3" t="inlineStr">
        <is>
          <t>Zile
tich.</t>
        </is>
      </c>
      <c r="AN3" s="3" t="inlineStr">
        <is>
          <t>Ore
supl.zi</t>
        </is>
      </c>
    </row>
    <row r="4" ht="22" customHeight="1">
      <c r="A4" s="11" t="n">
        <v>1</v>
      </c>
      <c r="B4" s="14">
        <f>IF(Personal!B3="","",IF(AND(Personal!D3&lt;=DATE(Setari!$B$6,Setari!$B$5+1,0),OR(Personal!E3="",Personal!E3&gt;=DATE(Setari!$B$6,Setari!$B$5,1))),Personal!B3,""))</f>
        <v/>
      </c>
      <c r="C4" s="15">
        <f>IF($B4="","",Personal!C3)</f>
        <v/>
      </c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  <c r="AA4" s="16" t="n"/>
      <c r="AB4" s="16" t="n"/>
      <c r="AC4" s="16" t="n"/>
      <c r="AD4" s="16" t="n"/>
      <c r="AE4" s="16" t="n"/>
      <c r="AF4" s="16" t="n"/>
      <c r="AG4" s="16" t="n"/>
      <c r="AH4" s="16" t="n"/>
      <c r="AI4" s="17">
        <f>IF($B4="","",SUM(D4:AH4))</f>
        <v/>
      </c>
      <c r="AJ4" s="17">
        <f>IF($B4="","",SUMPRODUCT((D4:AH4)*(WEEKDAY(DATE(Setari!$B$6,Setari!$B$5,D$3:AH$3),2)&gt;5)*(D$3:AH$3&lt;=DAY(DATE(Setari!$B$6,Setari!$B$5+1,0)))))</f>
        <v/>
      </c>
      <c r="AK4" s="17">
        <f>IF($B4="","",MAX(0,AI4-Setari!$B$8*Personal!G3))</f>
        <v/>
      </c>
      <c r="AL4" s="18">
        <f>IF($B4="","",SUMPRODUCT((D4:AH4&gt;0)*1*(D$3:AH$3&lt;=DAY(DATE(Setari!$B$6,Setari!$B$5+1,0)))))</f>
        <v/>
      </c>
      <c r="AM4" s="18">
        <f>IF($B4="","",SUMPRODUCT((D4:AH4&gt;0)*(WEEKDAY(DATE(Setari!$B$6,Setari!$B$5,D$3:AH$3),2)&lt;=5)*(D$3:AH$3&lt;=DAY(DATE(Setari!$B$6,Setari!$B$5+1,0)))))</f>
        <v/>
      </c>
      <c r="AN4" s="17">
        <f>IF($B4="","",SUMPRODUCT((D4:AH4-Personal!G3)*(D4:AH4&gt;Personal!G3)*(WEEKDAY(DATE(Setari!$B$6,Setari!$B$5,D$3:AH$3),2)&lt;=5)*(D$3:AH$3&lt;=DAY(DATE(Setari!$B$6,Setari!$B$5+1,0)))))</f>
        <v/>
      </c>
    </row>
    <row r="5" ht="22" customHeight="1">
      <c r="A5" s="11" t="n">
        <v>2</v>
      </c>
      <c r="B5" s="14">
        <f>IF(Personal!B4="","",IF(AND(Personal!D4&lt;=DATE(Setari!$B$6,Setari!$B$5+1,0),OR(Personal!E4="",Personal!E4&gt;=DATE(Setari!$B$6,Setari!$B$5,1))),Personal!B4,""))</f>
        <v/>
      </c>
      <c r="C5" s="15">
        <f>IF($B5="","",Personal!C4)</f>
        <v/>
      </c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7">
        <f>IF($B5="","",SUM(D5:AH5))</f>
        <v/>
      </c>
      <c r="AJ5" s="17">
        <f>IF($B5="","",SUMPRODUCT((D5:AH5)*(WEEKDAY(DATE(Setari!$B$6,Setari!$B$5,D$3:AH$3),2)&gt;5)*(D$3:AH$3&lt;=DAY(DATE(Setari!$B$6,Setari!$B$5+1,0)))))</f>
        <v/>
      </c>
      <c r="AK5" s="17">
        <f>IF($B5="","",MAX(0,AI5-Setari!$B$8*Personal!G4))</f>
        <v/>
      </c>
      <c r="AL5" s="18">
        <f>IF($B5="","",SUMPRODUCT((D5:AH5&gt;0)*1*(D$3:AH$3&lt;=DAY(DATE(Setari!$B$6,Setari!$B$5+1,0)))))</f>
        <v/>
      </c>
      <c r="AM5" s="18">
        <f>IF($B5="","",SUMPRODUCT((D5:AH5&gt;0)*(WEEKDAY(DATE(Setari!$B$6,Setari!$B$5,D$3:AH$3),2)&lt;=5)*(D$3:AH$3&lt;=DAY(DATE(Setari!$B$6,Setari!$B$5+1,0)))))</f>
        <v/>
      </c>
      <c r="AN5" s="17">
        <f>IF($B5="","",SUMPRODUCT((D5:AH5-Personal!G4)*(D5:AH5&gt;Personal!G4)*(WEEKDAY(DATE(Setari!$B$6,Setari!$B$5,D$3:AH$3),2)&lt;=5)*(D$3:AH$3&lt;=DAY(DATE(Setari!$B$6,Setari!$B$5+1,0)))))</f>
        <v/>
      </c>
    </row>
    <row r="6" ht="22" customHeight="1">
      <c r="A6" s="11" t="n">
        <v>3</v>
      </c>
      <c r="B6" s="14">
        <f>IF(Personal!B5="","",IF(AND(Personal!D5&lt;=DATE(Setari!$B$6,Setari!$B$5+1,0),OR(Personal!E5="",Personal!E5&gt;=DATE(Setari!$B$6,Setari!$B$5,1))),Personal!B5,""))</f>
        <v/>
      </c>
      <c r="C6" s="15">
        <f>IF($B6="","",Personal!C5)</f>
        <v/>
      </c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7">
        <f>IF($B6="","",SUM(D6:AH6))</f>
        <v/>
      </c>
      <c r="AJ6" s="17">
        <f>IF($B6="","",SUMPRODUCT((D6:AH6)*(WEEKDAY(DATE(Setari!$B$6,Setari!$B$5,D$3:AH$3),2)&gt;5)*(D$3:AH$3&lt;=DAY(DATE(Setari!$B$6,Setari!$B$5+1,0)))))</f>
        <v/>
      </c>
      <c r="AK6" s="17">
        <f>IF($B6="","",MAX(0,AI6-Setari!$B$8*Personal!G5))</f>
        <v/>
      </c>
      <c r="AL6" s="18">
        <f>IF($B6="","",SUMPRODUCT((D6:AH6&gt;0)*1*(D$3:AH$3&lt;=DAY(DATE(Setari!$B$6,Setari!$B$5+1,0)))))</f>
        <v/>
      </c>
      <c r="AM6" s="18">
        <f>IF($B6="","",SUMPRODUCT((D6:AH6&gt;0)*(WEEKDAY(DATE(Setari!$B$6,Setari!$B$5,D$3:AH$3),2)&lt;=5)*(D$3:AH$3&lt;=DAY(DATE(Setari!$B$6,Setari!$B$5+1,0)))))</f>
        <v/>
      </c>
      <c r="AN6" s="17">
        <f>IF($B6="","",SUMPRODUCT((D6:AH6-Personal!G5)*(D6:AH6&gt;Personal!G5)*(WEEKDAY(DATE(Setari!$B$6,Setari!$B$5,D$3:AH$3),2)&lt;=5)*(D$3:AH$3&lt;=DAY(DATE(Setari!$B$6,Setari!$B$5+1,0)))))</f>
        <v/>
      </c>
    </row>
    <row r="7" ht="22" customHeight="1">
      <c r="A7" s="11" t="n">
        <v>4</v>
      </c>
      <c r="B7" s="14">
        <f>IF(Personal!B6="","",IF(AND(Personal!D6&lt;=DATE(Setari!$B$6,Setari!$B$5+1,0),OR(Personal!E6="",Personal!E6&gt;=DATE(Setari!$B$6,Setari!$B$5,1))),Personal!B6,""))</f>
        <v/>
      </c>
      <c r="C7" s="15">
        <f>IF($B7="","",Personal!C6)</f>
        <v/>
      </c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7">
        <f>IF($B7="","",SUM(D7:AH7))</f>
        <v/>
      </c>
      <c r="AJ7" s="17">
        <f>IF($B7="","",SUMPRODUCT((D7:AH7)*(WEEKDAY(DATE(Setari!$B$6,Setari!$B$5,D$3:AH$3),2)&gt;5)*(D$3:AH$3&lt;=DAY(DATE(Setari!$B$6,Setari!$B$5+1,0)))))</f>
        <v/>
      </c>
      <c r="AK7" s="17">
        <f>IF($B7="","",MAX(0,AI7-Setari!$B$8*Personal!G6))</f>
        <v/>
      </c>
      <c r="AL7" s="18">
        <f>IF($B7="","",SUMPRODUCT((D7:AH7&gt;0)*1*(D$3:AH$3&lt;=DAY(DATE(Setari!$B$6,Setari!$B$5+1,0)))))</f>
        <v/>
      </c>
      <c r="AM7" s="18">
        <f>IF($B7="","",SUMPRODUCT((D7:AH7&gt;0)*(WEEKDAY(DATE(Setari!$B$6,Setari!$B$5,D$3:AH$3),2)&lt;=5)*(D$3:AH$3&lt;=DAY(DATE(Setari!$B$6,Setari!$B$5+1,0)))))</f>
        <v/>
      </c>
      <c r="AN7" s="17">
        <f>IF($B7="","",SUMPRODUCT((D7:AH7-Personal!G6)*(D7:AH7&gt;Personal!G6)*(WEEKDAY(DATE(Setari!$B$6,Setari!$B$5,D$3:AH$3),2)&lt;=5)*(D$3:AH$3&lt;=DAY(DATE(Setari!$B$6,Setari!$B$5+1,0)))))</f>
        <v/>
      </c>
    </row>
    <row r="8" ht="22" customHeight="1">
      <c r="A8" s="11" t="n">
        <v>5</v>
      </c>
      <c r="B8" s="14">
        <f>IF(Personal!B7="","",IF(AND(Personal!D7&lt;=DATE(Setari!$B$6,Setari!$B$5+1,0),OR(Personal!E7="",Personal!E7&gt;=DATE(Setari!$B$6,Setari!$B$5,1))),Personal!B7,""))</f>
        <v/>
      </c>
      <c r="C8" s="15">
        <f>IF($B8="","",Personal!C7)</f>
        <v/>
      </c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7">
        <f>IF($B8="","",SUM(D8:AH8))</f>
        <v/>
      </c>
      <c r="AJ8" s="17">
        <f>IF($B8="","",SUMPRODUCT((D8:AH8)*(WEEKDAY(DATE(Setari!$B$6,Setari!$B$5,D$3:AH$3),2)&gt;5)*(D$3:AH$3&lt;=DAY(DATE(Setari!$B$6,Setari!$B$5+1,0)))))</f>
        <v/>
      </c>
      <c r="AK8" s="17">
        <f>IF($B8="","",MAX(0,AI8-Setari!$B$8*Personal!G7))</f>
        <v/>
      </c>
      <c r="AL8" s="18">
        <f>IF($B8="","",SUMPRODUCT((D8:AH8&gt;0)*1*(D$3:AH$3&lt;=DAY(DATE(Setari!$B$6,Setari!$B$5+1,0)))))</f>
        <v/>
      </c>
      <c r="AM8" s="18">
        <f>IF($B8="","",SUMPRODUCT((D8:AH8&gt;0)*(WEEKDAY(DATE(Setari!$B$6,Setari!$B$5,D$3:AH$3),2)&lt;=5)*(D$3:AH$3&lt;=DAY(DATE(Setari!$B$6,Setari!$B$5+1,0)))))</f>
        <v/>
      </c>
      <c r="AN8" s="17">
        <f>IF($B8="","",SUMPRODUCT((D8:AH8-Personal!G7)*(D8:AH8&gt;Personal!G7)*(WEEKDAY(DATE(Setari!$B$6,Setari!$B$5,D$3:AH$3),2)&lt;=5)*(D$3:AH$3&lt;=DAY(DATE(Setari!$B$6,Setari!$B$5+1,0)))))</f>
        <v/>
      </c>
    </row>
    <row r="9" ht="22" customHeight="1">
      <c r="A9" s="11" t="n">
        <v>6</v>
      </c>
      <c r="B9" s="14">
        <f>IF(Personal!B8="","",IF(AND(Personal!D8&lt;=DATE(Setari!$B$6,Setari!$B$5+1,0),OR(Personal!E8="",Personal!E8&gt;=DATE(Setari!$B$6,Setari!$B$5,1))),Personal!B8,""))</f>
        <v/>
      </c>
      <c r="C9" s="15">
        <f>IF($B9="","",Personal!C8)</f>
        <v/>
      </c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7">
        <f>IF($B9="","",SUM(D9:AH9))</f>
        <v/>
      </c>
      <c r="AJ9" s="17">
        <f>IF($B9="","",SUMPRODUCT((D9:AH9)*(WEEKDAY(DATE(Setari!$B$6,Setari!$B$5,D$3:AH$3),2)&gt;5)*(D$3:AH$3&lt;=DAY(DATE(Setari!$B$6,Setari!$B$5+1,0)))))</f>
        <v/>
      </c>
      <c r="AK9" s="17">
        <f>IF($B9="","",MAX(0,AI9-Setari!$B$8*Personal!G8))</f>
        <v/>
      </c>
      <c r="AL9" s="18">
        <f>IF($B9="","",SUMPRODUCT((D9:AH9&gt;0)*1*(D$3:AH$3&lt;=DAY(DATE(Setari!$B$6,Setari!$B$5+1,0)))))</f>
        <v/>
      </c>
      <c r="AM9" s="18">
        <f>IF($B9="","",SUMPRODUCT((D9:AH9&gt;0)*(WEEKDAY(DATE(Setari!$B$6,Setari!$B$5,D$3:AH$3),2)&lt;=5)*(D$3:AH$3&lt;=DAY(DATE(Setari!$B$6,Setari!$B$5+1,0)))))</f>
        <v/>
      </c>
      <c r="AN9" s="17">
        <f>IF($B9="","",SUMPRODUCT((D9:AH9-Personal!G8)*(D9:AH9&gt;Personal!G8)*(WEEKDAY(DATE(Setari!$B$6,Setari!$B$5,D$3:AH$3),2)&lt;=5)*(D$3:AH$3&lt;=DAY(DATE(Setari!$B$6,Setari!$B$5+1,0)))))</f>
        <v/>
      </c>
    </row>
    <row r="10" ht="22" customHeight="1">
      <c r="A10" s="11" t="n">
        <v>7</v>
      </c>
      <c r="B10" s="14">
        <f>IF(Personal!B9="","",IF(AND(Personal!D9&lt;=DATE(Setari!$B$6,Setari!$B$5+1,0),OR(Personal!E9="",Personal!E9&gt;=DATE(Setari!$B$6,Setari!$B$5,1))),Personal!B9,""))</f>
        <v/>
      </c>
      <c r="C10" s="15">
        <f>IF($B10="","",Personal!C9)</f>
        <v/>
      </c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7">
        <f>IF($B10="","",SUM(D10:AH10))</f>
        <v/>
      </c>
      <c r="AJ10" s="17">
        <f>IF($B10="","",SUMPRODUCT((D10:AH10)*(WEEKDAY(DATE(Setari!$B$6,Setari!$B$5,D$3:AH$3),2)&gt;5)*(D$3:AH$3&lt;=DAY(DATE(Setari!$B$6,Setari!$B$5+1,0)))))</f>
        <v/>
      </c>
      <c r="AK10" s="17">
        <f>IF($B10="","",MAX(0,AI10-Setari!$B$8*Personal!G9))</f>
        <v/>
      </c>
      <c r="AL10" s="18">
        <f>IF($B10="","",SUMPRODUCT((D10:AH10&gt;0)*1*(D$3:AH$3&lt;=DAY(DATE(Setari!$B$6,Setari!$B$5+1,0)))))</f>
        <v/>
      </c>
      <c r="AM10" s="18">
        <f>IF($B10="","",SUMPRODUCT((D10:AH10&gt;0)*(WEEKDAY(DATE(Setari!$B$6,Setari!$B$5,D$3:AH$3),2)&lt;=5)*(D$3:AH$3&lt;=DAY(DATE(Setari!$B$6,Setari!$B$5+1,0)))))</f>
        <v/>
      </c>
      <c r="AN10" s="17">
        <f>IF($B10="","",SUMPRODUCT((D10:AH10-Personal!G9)*(D10:AH10&gt;Personal!G9)*(WEEKDAY(DATE(Setari!$B$6,Setari!$B$5,D$3:AH$3),2)&lt;=5)*(D$3:AH$3&lt;=DAY(DATE(Setari!$B$6,Setari!$B$5+1,0)))))</f>
        <v/>
      </c>
    </row>
    <row r="11" ht="22" customHeight="1">
      <c r="A11" s="11" t="n">
        <v>8</v>
      </c>
      <c r="B11" s="14">
        <f>IF(Personal!B10="","",IF(AND(Personal!D10&lt;=DATE(Setari!$B$6,Setari!$B$5+1,0),OR(Personal!E10="",Personal!E10&gt;=DATE(Setari!$B$6,Setari!$B$5,1))),Personal!B10,""))</f>
        <v/>
      </c>
      <c r="C11" s="15">
        <f>IF($B11="","",Personal!C10)</f>
        <v/>
      </c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7">
        <f>IF($B11="","",SUM(D11:AH11))</f>
        <v/>
      </c>
      <c r="AJ11" s="17">
        <f>IF($B11="","",SUMPRODUCT((D11:AH11)*(WEEKDAY(DATE(Setari!$B$6,Setari!$B$5,D$3:AH$3),2)&gt;5)*(D$3:AH$3&lt;=DAY(DATE(Setari!$B$6,Setari!$B$5+1,0)))))</f>
        <v/>
      </c>
      <c r="AK11" s="17">
        <f>IF($B11="","",MAX(0,AI11-Setari!$B$8*Personal!G10))</f>
        <v/>
      </c>
      <c r="AL11" s="18">
        <f>IF($B11="","",SUMPRODUCT((D11:AH11&gt;0)*1*(D$3:AH$3&lt;=DAY(DATE(Setari!$B$6,Setari!$B$5+1,0)))))</f>
        <v/>
      </c>
      <c r="AM11" s="18">
        <f>IF($B11="","",SUMPRODUCT((D11:AH11&gt;0)*(WEEKDAY(DATE(Setari!$B$6,Setari!$B$5,D$3:AH$3),2)&lt;=5)*(D$3:AH$3&lt;=DAY(DATE(Setari!$B$6,Setari!$B$5+1,0)))))</f>
        <v/>
      </c>
      <c r="AN11" s="17">
        <f>IF($B11="","",SUMPRODUCT((D11:AH11-Personal!G10)*(D11:AH11&gt;Personal!G10)*(WEEKDAY(DATE(Setari!$B$6,Setari!$B$5,D$3:AH$3),2)&lt;=5)*(D$3:AH$3&lt;=DAY(DATE(Setari!$B$6,Setari!$B$5+1,0)))))</f>
        <v/>
      </c>
    </row>
    <row r="12" ht="22" customHeight="1">
      <c r="A12" s="11" t="n">
        <v>9</v>
      </c>
      <c r="B12" s="14">
        <f>IF(Personal!B11="","",IF(AND(Personal!D11&lt;=DATE(Setari!$B$6,Setari!$B$5+1,0),OR(Personal!E11="",Personal!E11&gt;=DATE(Setari!$B$6,Setari!$B$5,1))),Personal!B11,""))</f>
        <v/>
      </c>
      <c r="C12" s="15">
        <f>IF($B12="","",Personal!C11)</f>
        <v/>
      </c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7">
        <f>IF($B12="","",SUM(D12:AH12))</f>
        <v/>
      </c>
      <c r="AJ12" s="17">
        <f>IF($B12="","",SUMPRODUCT((D12:AH12)*(WEEKDAY(DATE(Setari!$B$6,Setari!$B$5,D$3:AH$3),2)&gt;5)*(D$3:AH$3&lt;=DAY(DATE(Setari!$B$6,Setari!$B$5+1,0)))))</f>
        <v/>
      </c>
      <c r="AK12" s="17">
        <f>IF($B12="","",MAX(0,AI12-Setari!$B$8*Personal!G11))</f>
        <v/>
      </c>
      <c r="AL12" s="18">
        <f>IF($B12="","",SUMPRODUCT((D12:AH12&gt;0)*1*(D$3:AH$3&lt;=DAY(DATE(Setari!$B$6,Setari!$B$5+1,0)))))</f>
        <v/>
      </c>
      <c r="AM12" s="18">
        <f>IF($B12="","",SUMPRODUCT((D12:AH12&gt;0)*(WEEKDAY(DATE(Setari!$B$6,Setari!$B$5,D$3:AH$3),2)&lt;=5)*(D$3:AH$3&lt;=DAY(DATE(Setari!$B$6,Setari!$B$5+1,0)))))</f>
        <v/>
      </c>
      <c r="AN12" s="17">
        <f>IF($B12="","",SUMPRODUCT((D12:AH12-Personal!G11)*(D12:AH12&gt;Personal!G11)*(WEEKDAY(DATE(Setari!$B$6,Setari!$B$5,D$3:AH$3),2)&lt;=5)*(D$3:AH$3&lt;=DAY(DATE(Setari!$B$6,Setari!$B$5+1,0)))))</f>
        <v/>
      </c>
    </row>
    <row r="13" ht="22" customHeight="1">
      <c r="A13" s="11" t="n">
        <v>10</v>
      </c>
      <c r="B13" s="14">
        <f>IF(Personal!B12="","",IF(AND(Personal!D12&lt;=DATE(Setari!$B$6,Setari!$B$5+1,0),OR(Personal!E12="",Personal!E12&gt;=DATE(Setari!$B$6,Setari!$B$5,1))),Personal!B12,""))</f>
        <v/>
      </c>
      <c r="C13" s="15">
        <f>IF($B13="","",Personal!C12)</f>
        <v/>
      </c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7">
        <f>IF($B13="","",SUM(D13:AH13))</f>
        <v/>
      </c>
      <c r="AJ13" s="17">
        <f>IF($B13="","",SUMPRODUCT((D13:AH13)*(WEEKDAY(DATE(Setari!$B$6,Setari!$B$5,D$3:AH$3),2)&gt;5)*(D$3:AH$3&lt;=DAY(DATE(Setari!$B$6,Setari!$B$5+1,0)))))</f>
        <v/>
      </c>
      <c r="AK13" s="17">
        <f>IF($B13="","",MAX(0,AI13-Setari!$B$8*Personal!G12))</f>
        <v/>
      </c>
      <c r="AL13" s="18">
        <f>IF($B13="","",SUMPRODUCT((D13:AH13&gt;0)*1*(D$3:AH$3&lt;=DAY(DATE(Setari!$B$6,Setari!$B$5+1,0)))))</f>
        <v/>
      </c>
      <c r="AM13" s="18">
        <f>IF($B13="","",SUMPRODUCT((D13:AH13&gt;0)*(WEEKDAY(DATE(Setari!$B$6,Setari!$B$5,D$3:AH$3),2)&lt;=5)*(D$3:AH$3&lt;=DAY(DATE(Setari!$B$6,Setari!$B$5+1,0)))))</f>
        <v/>
      </c>
      <c r="AN13" s="17">
        <f>IF($B13="","",SUMPRODUCT((D13:AH13-Personal!G12)*(D13:AH13&gt;Personal!G12)*(WEEKDAY(DATE(Setari!$B$6,Setari!$B$5,D$3:AH$3),2)&lt;=5)*(D$3:AH$3&lt;=DAY(DATE(Setari!$B$6,Setari!$B$5+1,0)))))</f>
        <v/>
      </c>
    </row>
    <row r="14" ht="24" customHeight="1">
      <c r="A14" s="19" t="n"/>
      <c r="B14" s="3" t="inlineStr">
        <is>
          <t>TOTAL</t>
        </is>
      </c>
      <c r="C14" s="3" t="n"/>
      <c r="D14" s="20">
        <f>SUM(D4:D13)</f>
        <v/>
      </c>
      <c r="E14" s="20">
        <f>SUM(E4:E13)</f>
        <v/>
      </c>
      <c r="F14" s="20">
        <f>SUM(F4:F13)</f>
        <v/>
      </c>
      <c r="G14" s="20">
        <f>SUM(G4:G13)</f>
        <v/>
      </c>
      <c r="H14" s="20">
        <f>SUM(H4:H13)</f>
        <v/>
      </c>
      <c r="I14" s="20">
        <f>SUM(I4:I13)</f>
        <v/>
      </c>
      <c r="J14" s="20">
        <f>SUM(J4:J13)</f>
        <v/>
      </c>
      <c r="K14" s="20">
        <f>SUM(K4:K13)</f>
        <v/>
      </c>
      <c r="L14" s="20">
        <f>SUM(L4:L13)</f>
        <v/>
      </c>
      <c r="M14" s="20">
        <f>SUM(M4:M13)</f>
        <v/>
      </c>
      <c r="N14" s="20">
        <f>SUM(N4:N13)</f>
        <v/>
      </c>
      <c r="O14" s="20">
        <f>SUM(O4:O13)</f>
        <v/>
      </c>
      <c r="P14" s="20">
        <f>SUM(P4:P13)</f>
        <v/>
      </c>
      <c r="Q14" s="20">
        <f>SUM(Q4:Q13)</f>
        <v/>
      </c>
      <c r="R14" s="20">
        <f>SUM(R4:R13)</f>
        <v/>
      </c>
      <c r="S14" s="20">
        <f>SUM(S4:S13)</f>
        <v/>
      </c>
      <c r="T14" s="20">
        <f>SUM(T4:T13)</f>
        <v/>
      </c>
      <c r="U14" s="20">
        <f>SUM(U4:U13)</f>
        <v/>
      </c>
      <c r="V14" s="20">
        <f>SUM(V4:V13)</f>
        <v/>
      </c>
      <c r="W14" s="20">
        <f>SUM(W4:W13)</f>
        <v/>
      </c>
      <c r="X14" s="20">
        <f>SUM(X4:X13)</f>
        <v/>
      </c>
      <c r="Y14" s="20">
        <f>SUM(Y4:Y13)</f>
        <v/>
      </c>
      <c r="Z14" s="20">
        <f>SUM(Z4:Z13)</f>
        <v/>
      </c>
      <c r="AA14" s="20">
        <f>SUM(AA4:AA13)</f>
        <v/>
      </c>
      <c r="AB14" s="20">
        <f>SUM(AB4:AB13)</f>
        <v/>
      </c>
      <c r="AC14" s="20">
        <f>SUM(AC4:AC13)</f>
        <v/>
      </c>
      <c r="AD14" s="20">
        <f>SUM(AD4:AD13)</f>
        <v/>
      </c>
      <c r="AE14" s="20">
        <f>SUM(AE4:AE13)</f>
        <v/>
      </c>
      <c r="AF14" s="20">
        <f>SUM(AF4:AF13)</f>
        <v/>
      </c>
      <c r="AG14" s="20">
        <f>SUM(AG4:AG13)</f>
        <v/>
      </c>
      <c r="AH14" s="20">
        <f>SUM(AH4:AH13)</f>
        <v/>
      </c>
      <c r="AI14" s="20">
        <f>SUM(AI4:AI13)</f>
        <v/>
      </c>
      <c r="AJ14" s="20">
        <f>SUM(AJ4:AJ13)</f>
        <v/>
      </c>
      <c r="AK14" s="20">
        <f>SUM(AK4:AK13)</f>
        <v/>
      </c>
      <c r="AL14" s="20">
        <f>SUM(AL4:AL13)</f>
        <v/>
      </c>
      <c r="AM14" s="20">
        <f>SUM(AM4:AM13)</f>
        <v/>
      </c>
      <c r="AN14" s="20">
        <f>SUM(AN4:AN13)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0D0"/>
  <mergeCells count="1">
    <mergeCell ref="A1:AH1"/>
  </mergeCells>
  <conditionalFormatting sqref="D4:AH13">
    <cfRule type="expression" priority="1" dxfId="0">
      <formula>AND(D$3&lt;=DAY(DATE(Setari!$B$6,Setari!$B$5+1,0)),WEEKDAY(DATE(Setari!$B$6,Setari!$B$5,D$3),2)&gt;5)</formula>
    </cfRule>
    <cfRule type="expression" priority="2" dxfId="1">
      <formula>OR(Personal!$B3="",D$3&gt;DAY(DATE(Setari!$B$6,Setari!$B$5+1,0)),AND(Personal!$D3&lt;&gt;"",Personal!$D3&gt;DATE(Setari!$B$6,Setari!$B$5,D$3)),AND(Personal!$E3&lt;&gt;"",Personal!$E3&lt;DATE(Setari!$B$6,Setari!$B$5,D$3)))</formula>
    </cfRule>
  </conditionalFormatting>
  <dataValidations count="2">
    <dataValidation sqref="D4:AH13" showDropDown="0" showInputMessage="0" showErrorMessage="1" allowBlank="1" errorTitle="Ore invalide" error="Introduceti 0-24 ore" type="whole" operator="between">
      <formula1>0</formula1>
      <formula2>24</formula2>
    </dataValidation>
    <dataValidation sqref="D4:AH13" showDropDown="0" showInputMessage="0" showErrorMessage="1" allowBlank="1" errorTitle="Zi blocata" error="Aceasta zi este in afara lunii sau in afara perioadei de angajare." type="custom">
      <formula1>=AND(D$3&lt;=DAY(DATE(Setari!$B$6,Setari!$B$5+1,0)),Personal!$D3&lt;=DATE(Setari!$B$6,Setari!$B$5,D$3),OR(Personal!$E3="",Personal!$E3&gt;=DATE(Setari!$B$6,Setari!$B$5,D$3)))</formula1>
    </dataValidation>
  </dataValidations>
  <pageMargins left="0.3" right="0.3" top="0.4" bottom="0.4" header="0.5" footer="0.5"/>
  <pageSetup orientation="landscape" fitToHeight="1" fitToWidth="1"/>
</worksheet>
</file>

<file path=xl/worksheets/sheet4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AI18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6" customWidth="1" min="3" max="3"/>
    <col width="6" customWidth="1" min="4" max="4"/>
    <col width="10" customWidth="1" min="5" max="5"/>
    <col width="6" customWidth="1" min="6" max="6"/>
    <col width="10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8" customWidth="1" min="35" max="35"/>
  </cols>
  <sheetData>
    <row r="1" ht="28" customHeight="1">
      <c r="A1" s="10">
        <f>IF(Setari!B4="","STAT DE PLATA","STAT DE PLATA "&amp;TEXT(Setari!B5,"00")&amp;"/"&amp;Setari!B6&amp;" — "&amp;Setari!B4)</f>
        <v/>
      </c>
    </row>
    <row r="2" ht="6" customHeight="1"/>
    <row r="3" ht="22" customHeight="1">
      <c r="A3" s="3" t="inlineStr">
        <is>
          <t>Nr.</t>
        </is>
      </c>
      <c r="B3" s="3" t="inlineStr">
        <is>
          <t>Nume</t>
        </is>
      </c>
      <c r="C3" s="3" t="inlineStr">
        <is>
          <t>Ore</t>
        </is>
      </c>
      <c r="D3" s="21" t="n"/>
      <c r="E3" s="21" t="n"/>
      <c r="F3" s="21" t="n"/>
      <c r="G3" s="21" t="n"/>
      <c r="H3" s="21" t="n"/>
      <c r="I3" s="22" t="n"/>
      <c r="J3" s="3" t="inlineStr">
        <is>
          <t>Zile</t>
        </is>
      </c>
      <c r="K3" s="21" t="n"/>
      <c r="L3" s="21" t="n"/>
      <c r="M3" s="22" t="n"/>
      <c r="N3" s="3" t="inlineStr">
        <is>
          <t>Sume</t>
        </is>
      </c>
      <c r="O3" s="21" t="n"/>
      <c r="P3" s="21" t="n"/>
      <c r="Q3" s="21" t="n"/>
      <c r="R3" s="21" t="n"/>
      <c r="S3" s="21" t="n"/>
      <c r="T3" s="21" t="n"/>
      <c r="U3" s="21" t="n"/>
      <c r="V3" s="21" t="n"/>
      <c r="W3" s="22" t="n"/>
      <c r="X3" s="3" t="inlineStr">
        <is>
          <t>Total
drept.</t>
        </is>
      </c>
      <c r="Y3" s="3" t="inlineStr">
        <is>
          <t>Deducere</t>
        </is>
      </c>
      <c r="Z3" s="22" t="n"/>
      <c r="AA3" s="3" t="inlineStr">
        <is>
          <t>Baza
impoz.</t>
        </is>
      </c>
      <c r="AB3" s="3" t="inlineStr">
        <is>
          <t>Retineri</t>
        </is>
      </c>
      <c r="AC3" s="21" t="n"/>
      <c r="AD3" s="22" t="n"/>
      <c r="AE3" s="3" t="inlineStr">
        <is>
          <t>Tot.
ret.</t>
        </is>
      </c>
      <c r="AF3" s="3" t="inlineStr">
        <is>
          <t>Alte
ret.</t>
        </is>
      </c>
      <c r="AG3" s="3" t="inlineStr">
        <is>
          <t>Avans</t>
        </is>
      </c>
      <c r="AH3" s="3" t="inlineStr">
        <is>
          <t>Rest
plata</t>
        </is>
      </c>
      <c r="AI3" s="3" t="inlineStr">
        <is>
          <t>Semn.</t>
        </is>
      </c>
    </row>
    <row r="4" ht="70" customHeight="1">
      <c r="A4" s="23" t="n"/>
      <c r="B4" s="23" t="n"/>
      <c r="C4" s="23" t="inlineStr">
        <is>
          <t>Zi</t>
        </is>
      </c>
      <c r="D4" s="23" t="inlineStr">
        <is>
          <t>Luna</t>
        </is>
      </c>
      <c r="E4" s="23" t="inlineStr">
        <is>
          <t>Lucrate</t>
        </is>
      </c>
      <c r="F4" s="23" t="inlineStr">
        <is>
          <t>Noapte</t>
        </is>
      </c>
      <c r="G4" s="23" t="inlineStr">
        <is>
          <t>SD</t>
        </is>
      </c>
      <c r="H4" s="23" t="inlineStr">
        <is>
          <t>75%</t>
        </is>
      </c>
      <c r="I4" s="23" t="inlineStr">
        <is>
          <t>100%</t>
        </is>
      </c>
      <c r="J4" s="23" t="inlineStr">
        <is>
          <t>Lucrate</t>
        </is>
      </c>
      <c r="K4" s="23" t="inlineStr">
        <is>
          <t>CO</t>
        </is>
      </c>
      <c r="L4" s="23" t="inlineStr">
        <is>
          <t>CM</t>
        </is>
      </c>
      <c r="M4" s="23" t="inlineStr">
        <is>
          <t>LP</t>
        </is>
      </c>
      <c r="N4" s="23" t="inlineStr">
        <is>
          <t>Incadr.</t>
        </is>
      </c>
      <c r="O4" s="23" t="inlineStr">
        <is>
          <t>Realizat</t>
        </is>
      </c>
      <c r="P4" s="23" t="inlineStr">
        <is>
          <t>SpV</t>
        </is>
      </c>
      <c r="Q4" s="23" t="inlineStr">
        <is>
          <t>SpSD</t>
        </is>
      </c>
      <c r="R4" s="23" t="inlineStr">
        <is>
          <t>SpN</t>
        </is>
      </c>
      <c r="S4" s="23" t="inlineStr">
        <is>
          <t>Sp75</t>
        </is>
      </c>
      <c r="T4" s="23" t="inlineStr">
        <is>
          <t>Sp100</t>
        </is>
      </c>
      <c r="U4" s="23" t="inlineStr">
        <is>
          <t>Diverse</t>
        </is>
      </c>
      <c r="V4" s="23" t="inlineStr">
        <is>
          <t>Tichete</t>
        </is>
      </c>
      <c r="W4" s="23" t="inlineStr">
        <is>
          <t>CO</t>
        </is>
      </c>
      <c r="X4" s="23" t="n"/>
      <c r="Y4" s="23" t="inlineStr">
        <is>
          <t>Baza</t>
        </is>
      </c>
      <c r="Z4" s="23" t="inlineStr">
        <is>
          <t>Supl.</t>
        </is>
      </c>
      <c r="AA4" s="23" t="n"/>
      <c r="AB4" s="23" t="inlineStr">
        <is>
          <t>CAS</t>
        </is>
      </c>
      <c r="AC4" s="23" t="inlineStr">
        <is>
          <t>CASS</t>
        </is>
      </c>
      <c r="AD4" s="23" t="inlineStr">
        <is>
          <t>Impozit</t>
        </is>
      </c>
      <c r="AE4" s="23" t="n"/>
      <c r="AF4" s="23" t="n"/>
      <c r="AG4" s="23" t="n"/>
      <c r="AH4" s="23" t="n"/>
      <c r="AI4" s="23" t="n"/>
    </row>
    <row r="5" ht="28" customHeight="1">
      <c r="A5" s="11" t="n">
        <v>1</v>
      </c>
      <c r="B5" s="24">
        <f>IF(Personal!B3="","",Personal!B3&amp;CHAR(10)&amp;TEXT(Personal!C3,"0000000000000"))</f>
        <v/>
      </c>
      <c r="C5" s="25">
        <f>IF($B5="","",Personal!G3)</f>
        <v/>
      </c>
      <c r="D5" s="25">
        <f>IF($B5="","",Setari!$B$8*C5)</f>
        <v/>
      </c>
      <c r="E5" s="26">
        <f>IF($B5="","",Pontaj!AI4)</f>
        <v/>
      </c>
      <c r="F5" s="27" t="n"/>
      <c r="G5" s="26">
        <f>IF($B5="","",Pontaj!AJ4)</f>
        <v/>
      </c>
      <c r="H5" s="25">
        <f>IF($B5="","",Pontaj!AN4)</f>
        <v/>
      </c>
      <c r="I5" s="27" t="n"/>
      <c r="J5" s="25">
        <f>IF($B5="","",Pontaj!AL4)</f>
        <v/>
      </c>
      <c r="K5" s="27" t="n"/>
      <c r="L5" s="27" t="n"/>
      <c r="M5" s="27" t="n"/>
      <c r="N5" s="26">
        <f>IF($B5="","",Personal!H3)</f>
        <v/>
      </c>
      <c r="O5" s="26">
        <f>IF(OR($B5="",D5=0),"",ROUND(N5/D5*E5,0))</f>
        <v/>
      </c>
      <c r="P5" s="26">
        <f>IF(OR($B5="",D5=0),"",ROUND(N5*Personal!I3/100/D5*E5,0))</f>
        <v/>
      </c>
      <c r="Q5" s="26">
        <f>IF(OR($B5="",D5=0),"",ROUND(N5/D5*G5,0))</f>
        <v/>
      </c>
      <c r="R5" s="26">
        <f>IF(OR($B5="",D5=0,F5=""),"",ROUND(N5/D5*F5*25/100,0))</f>
        <v/>
      </c>
      <c r="S5" s="26">
        <f>IF(OR($B5="",D5=0,H5=""),"",ROUND(N5/D5*H5*75/100,0))</f>
        <v/>
      </c>
      <c r="T5" s="26">
        <f>IF(OR($B5="",D5=0,I5=""),"",ROUND(N5/D5*I5,0))</f>
        <v/>
      </c>
      <c r="U5" s="28" t="n"/>
      <c r="V5" s="26">
        <f>IF($B5="","",Personal!K3*Pontaj!AM4)</f>
        <v/>
      </c>
      <c r="W5" s="26">
        <f>IF(OR($B5="",Setari!$B$8=0,K5=""),"",ROUND(N5*(1+Personal!I3/100)/Setari!$B$8*K5,0))</f>
        <v/>
      </c>
      <c r="X5" s="26">
        <f>IF($B5="","",ROUND(O5+P5+Q5+IF(R5="",0,R5)+IF(S5="",0,S5)+IF(T5="",0,T5)+IF(U5="",0,U5)+V5+IF(W5="",0,W5),0))</f>
        <v/>
      </c>
      <c r="Y5" s="26">
        <f>IF(OR($B5="",X5=0,X5&gt;=Setari!$B$7+2000),0,ROUND(MAX(0,(20-0.5*CEILING(MAX(0,X5-Setari!$B$7)/50,1)+CHOOSE(MIN(Personal!J3,4)+1,0,5,10,15,25))*Setari!$B$7/100),0))</f>
        <v/>
      </c>
      <c r="Z5" s="28" t="n"/>
      <c r="AA5" s="26">
        <f>IF($B5="",0,MAX(0,X5-IF(AB5="",0,AB5)-IF(AC5="",0,AC5)-Y5-IF(Z5="",0,Z5)))</f>
        <v/>
      </c>
      <c r="AB5" s="26">
        <f>IF(OR($B5="",X5=0),0,ROUND(X5*Setari!$B$10/100,0))</f>
        <v/>
      </c>
      <c r="AC5" s="26">
        <f>IF(OR($B5="",X5=0),0,ROUND(X5*Setari!$B$11/100,0))</f>
        <v/>
      </c>
      <c r="AD5" s="26">
        <f>IF(OR($B5="",AA5=0),0,ROUND(AA5*Setari!$B$12/100,0))</f>
        <v/>
      </c>
      <c r="AE5" s="26">
        <f>IF($B5="","",IF(AB5="",0,AB5)+IF(AC5="",0,AC5)+IF(AD5="",0,AD5))</f>
        <v/>
      </c>
      <c r="AF5" s="28" t="n"/>
      <c r="AG5" s="28" t="n"/>
      <c r="AH5" s="26">
        <f>IF($B5="","",X5-AE5-IF(AF5="",0,AF5)-IF(AG5="",0,AG5))</f>
        <v/>
      </c>
      <c r="AI5" s="29" t="n"/>
    </row>
    <row r="6" ht="28" customHeight="1">
      <c r="A6" s="11" t="n">
        <v>2</v>
      </c>
      <c r="B6" s="24">
        <f>IF(Personal!B4="","",Personal!B4&amp;CHAR(10)&amp;TEXT(Personal!C4,"0000000000000"))</f>
        <v/>
      </c>
      <c r="C6" s="25">
        <f>IF($B6="","",Personal!G4)</f>
        <v/>
      </c>
      <c r="D6" s="25">
        <f>IF($B6="","",Setari!$B$8*C6)</f>
        <v/>
      </c>
      <c r="E6" s="26">
        <f>IF($B6="","",Pontaj!AI5)</f>
        <v/>
      </c>
      <c r="F6" s="27" t="n"/>
      <c r="G6" s="26">
        <f>IF($B6="","",Pontaj!AJ5)</f>
        <v/>
      </c>
      <c r="H6" s="25">
        <f>IF($B6="","",Pontaj!AN5)</f>
        <v/>
      </c>
      <c r="I6" s="27" t="n"/>
      <c r="J6" s="25">
        <f>IF($B6="","",Pontaj!AL5)</f>
        <v/>
      </c>
      <c r="K6" s="27" t="n"/>
      <c r="L6" s="27" t="n"/>
      <c r="M6" s="27" t="n"/>
      <c r="N6" s="26">
        <f>IF($B6="","",Personal!H4)</f>
        <v/>
      </c>
      <c r="O6" s="26">
        <f>IF(OR($B6="",D6=0),"",ROUND(N6/D6*E6,0))</f>
        <v/>
      </c>
      <c r="P6" s="26">
        <f>IF(OR($B6="",D6=0),"",ROUND(N6*Personal!I4/100/D6*E6,0))</f>
        <v/>
      </c>
      <c r="Q6" s="26">
        <f>IF(OR($B6="",D6=0),"",ROUND(N6/D6*G6,0))</f>
        <v/>
      </c>
      <c r="R6" s="26">
        <f>IF(OR($B6="",D6=0,F6=""),"",ROUND(N6/D6*F6*25/100,0))</f>
        <v/>
      </c>
      <c r="S6" s="26">
        <f>IF(OR($B6="",D6=0,H6=""),"",ROUND(N6/D6*H6*75/100,0))</f>
        <v/>
      </c>
      <c r="T6" s="26">
        <f>IF(OR($B6="",D6=0,I6=""),"",ROUND(N6/D6*I6,0))</f>
        <v/>
      </c>
      <c r="U6" s="28" t="n"/>
      <c r="V6" s="26">
        <f>IF($B6="","",Personal!K4*Pontaj!AM5)</f>
        <v/>
      </c>
      <c r="W6" s="26">
        <f>IF(OR($B6="",Setari!$B$8=0,K6=""),"",ROUND(N6*(1+Personal!I4/100)/Setari!$B$8*K6,0))</f>
        <v/>
      </c>
      <c r="X6" s="26">
        <f>IF($B6="","",ROUND(O6+P6+Q6+IF(R6="",0,R6)+IF(S6="",0,S6)+IF(T6="",0,T6)+IF(U6="",0,U6)+V6+IF(W6="",0,W6),0))</f>
        <v/>
      </c>
      <c r="Y6" s="26">
        <f>IF(OR($B6="",X6=0,X6&gt;=Setari!$B$7+2000),0,ROUND(MAX(0,(20-0.5*CEILING(MAX(0,X6-Setari!$B$7)/50,1)+CHOOSE(MIN(Personal!J4,4)+1,0,5,10,15,25))*Setari!$B$7/100),0))</f>
        <v/>
      </c>
      <c r="Z6" s="28" t="n"/>
      <c r="AA6" s="26">
        <f>IF($B6="",0,MAX(0,X6-IF(AB6="",0,AB6)-IF(AC6="",0,AC6)-Y6-IF(Z6="",0,Z6)))</f>
        <v/>
      </c>
      <c r="AB6" s="26">
        <f>IF(OR($B6="",X6=0),0,ROUND(X6*Setari!$B$10/100,0))</f>
        <v/>
      </c>
      <c r="AC6" s="26">
        <f>IF(OR($B6="",X6=0),0,ROUND(X6*Setari!$B$11/100,0))</f>
        <v/>
      </c>
      <c r="AD6" s="26">
        <f>IF(OR($B6="",AA6=0),0,ROUND(AA6*Setari!$B$12/100,0))</f>
        <v/>
      </c>
      <c r="AE6" s="26">
        <f>IF($B6="","",IF(AB6="",0,AB6)+IF(AC6="",0,AC6)+IF(AD6="",0,AD6))</f>
        <v/>
      </c>
      <c r="AF6" s="28" t="n"/>
      <c r="AG6" s="28" t="n"/>
      <c r="AH6" s="26">
        <f>IF($B6="","",X6-AE6-IF(AF6="",0,AF6)-IF(AG6="",0,AG6))</f>
        <v/>
      </c>
      <c r="AI6" s="29" t="n"/>
    </row>
    <row r="7" ht="28" customHeight="1">
      <c r="A7" s="11" t="n">
        <v>3</v>
      </c>
      <c r="B7" s="24">
        <f>IF(Personal!B5="","",Personal!B5&amp;CHAR(10)&amp;TEXT(Personal!C5,"0000000000000"))</f>
        <v/>
      </c>
      <c r="C7" s="25">
        <f>IF($B7="","",Personal!G5)</f>
        <v/>
      </c>
      <c r="D7" s="25">
        <f>IF($B7="","",Setari!$B$8*C7)</f>
        <v/>
      </c>
      <c r="E7" s="26">
        <f>IF($B7="","",Pontaj!AI6)</f>
        <v/>
      </c>
      <c r="F7" s="27" t="n"/>
      <c r="G7" s="26">
        <f>IF($B7="","",Pontaj!AJ6)</f>
        <v/>
      </c>
      <c r="H7" s="25">
        <f>IF($B7="","",Pontaj!AN6)</f>
        <v/>
      </c>
      <c r="I7" s="27" t="n"/>
      <c r="J7" s="25">
        <f>IF($B7="","",Pontaj!AL6)</f>
        <v/>
      </c>
      <c r="K7" s="27" t="n"/>
      <c r="L7" s="27" t="n"/>
      <c r="M7" s="27" t="n"/>
      <c r="N7" s="26">
        <f>IF($B7="","",Personal!H5)</f>
        <v/>
      </c>
      <c r="O7" s="26">
        <f>IF(OR($B7="",D7=0),"",ROUND(N7/D7*E7,0))</f>
        <v/>
      </c>
      <c r="P7" s="26">
        <f>IF(OR($B7="",D7=0),"",ROUND(N7*Personal!I5/100/D7*E7,0))</f>
        <v/>
      </c>
      <c r="Q7" s="26">
        <f>IF(OR($B7="",D7=0),"",ROUND(N7/D7*G7,0))</f>
        <v/>
      </c>
      <c r="R7" s="26">
        <f>IF(OR($B7="",D7=0,F7=""),"",ROUND(N7/D7*F7*25/100,0))</f>
        <v/>
      </c>
      <c r="S7" s="26">
        <f>IF(OR($B7="",D7=0,H7=""),"",ROUND(N7/D7*H7*75/100,0))</f>
        <v/>
      </c>
      <c r="T7" s="26">
        <f>IF(OR($B7="",D7=0,I7=""),"",ROUND(N7/D7*I7,0))</f>
        <v/>
      </c>
      <c r="U7" s="28" t="n"/>
      <c r="V7" s="26">
        <f>IF($B7="","",Personal!K5*Pontaj!AM6)</f>
        <v/>
      </c>
      <c r="W7" s="26">
        <f>IF(OR($B7="",Setari!$B$8=0,K7=""),"",ROUND(N7*(1+Personal!I5/100)/Setari!$B$8*K7,0))</f>
        <v/>
      </c>
      <c r="X7" s="26">
        <f>IF($B7="","",ROUND(O7+P7+Q7+IF(R7="",0,R7)+IF(S7="",0,S7)+IF(T7="",0,T7)+IF(U7="",0,U7)+V7+IF(W7="",0,W7),0))</f>
        <v/>
      </c>
      <c r="Y7" s="26">
        <f>IF(OR($B7="",X7=0,X7&gt;=Setari!$B$7+2000),0,ROUND(MAX(0,(20-0.5*CEILING(MAX(0,X7-Setari!$B$7)/50,1)+CHOOSE(MIN(Personal!J5,4)+1,0,5,10,15,25))*Setari!$B$7/100),0))</f>
        <v/>
      </c>
      <c r="Z7" s="28" t="n"/>
      <c r="AA7" s="26">
        <f>IF($B7="",0,MAX(0,X7-IF(AB7="",0,AB7)-IF(AC7="",0,AC7)-Y7-IF(Z7="",0,Z7)))</f>
        <v/>
      </c>
      <c r="AB7" s="26">
        <f>IF(OR($B7="",X7=0),0,ROUND(X7*Setari!$B$10/100,0))</f>
        <v/>
      </c>
      <c r="AC7" s="26">
        <f>IF(OR($B7="",X7=0),0,ROUND(X7*Setari!$B$11/100,0))</f>
        <v/>
      </c>
      <c r="AD7" s="26">
        <f>IF(OR($B7="",AA7=0),0,ROUND(AA7*Setari!$B$12/100,0))</f>
        <v/>
      </c>
      <c r="AE7" s="26">
        <f>IF($B7="","",IF(AB7="",0,AB7)+IF(AC7="",0,AC7)+IF(AD7="",0,AD7))</f>
        <v/>
      </c>
      <c r="AF7" s="28" t="n"/>
      <c r="AG7" s="28" t="n"/>
      <c r="AH7" s="26">
        <f>IF($B7="","",X7-AE7-IF(AF7="",0,AF7)-IF(AG7="",0,AG7))</f>
        <v/>
      </c>
      <c r="AI7" s="29" t="n"/>
    </row>
    <row r="8" ht="28" customHeight="1">
      <c r="A8" s="11" t="n">
        <v>4</v>
      </c>
      <c r="B8" s="24">
        <f>IF(Personal!B6="","",Personal!B6&amp;CHAR(10)&amp;TEXT(Personal!C6,"0000000000000"))</f>
        <v/>
      </c>
      <c r="C8" s="25">
        <f>IF($B8="","",Personal!G6)</f>
        <v/>
      </c>
      <c r="D8" s="25">
        <f>IF($B8="","",Setari!$B$8*C8)</f>
        <v/>
      </c>
      <c r="E8" s="26">
        <f>IF($B8="","",Pontaj!AI7)</f>
        <v/>
      </c>
      <c r="F8" s="27" t="n"/>
      <c r="G8" s="26">
        <f>IF($B8="","",Pontaj!AJ7)</f>
        <v/>
      </c>
      <c r="H8" s="25">
        <f>IF($B8="","",Pontaj!AN7)</f>
        <v/>
      </c>
      <c r="I8" s="27" t="n"/>
      <c r="J8" s="25">
        <f>IF($B8="","",Pontaj!AL7)</f>
        <v/>
      </c>
      <c r="K8" s="27" t="n"/>
      <c r="L8" s="27" t="n"/>
      <c r="M8" s="27" t="n"/>
      <c r="N8" s="26">
        <f>IF($B8="","",Personal!H6)</f>
        <v/>
      </c>
      <c r="O8" s="26">
        <f>IF(OR($B8="",D8=0),"",ROUND(N8/D8*E8,0))</f>
        <v/>
      </c>
      <c r="P8" s="26">
        <f>IF(OR($B8="",D8=0),"",ROUND(N8*Personal!I6/100/D8*E8,0))</f>
        <v/>
      </c>
      <c r="Q8" s="26">
        <f>IF(OR($B8="",D8=0),"",ROUND(N8/D8*G8,0))</f>
        <v/>
      </c>
      <c r="R8" s="26">
        <f>IF(OR($B8="",D8=0,F8=""),"",ROUND(N8/D8*F8*25/100,0))</f>
        <v/>
      </c>
      <c r="S8" s="26">
        <f>IF(OR($B8="",D8=0,H8=""),"",ROUND(N8/D8*H8*75/100,0))</f>
        <v/>
      </c>
      <c r="T8" s="26">
        <f>IF(OR($B8="",D8=0,I8=""),"",ROUND(N8/D8*I8,0))</f>
        <v/>
      </c>
      <c r="U8" s="28" t="n"/>
      <c r="V8" s="26">
        <f>IF($B8="","",Personal!K6*Pontaj!AM7)</f>
        <v/>
      </c>
      <c r="W8" s="26">
        <f>IF(OR($B8="",Setari!$B$8=0,K8=""),"",ROUND(N8*(1+Personal!I6/100)/Setari!$B$8*K8,0))</f>
        <v/>
      </c>
      <c r="X8" s="26">
        <f>IF($B8="","",ROUND(O8+P8+Q8+IF(R8="",0,R8)+IF(S8="",0,S8)+IF(T8="",0,T8)+IF(U8="",0,U8)+V8+IF(W8="",0,W8),0))</f>
        <v/>
      </c>
      <c r="Y8" s="26">
        <f>IF(OR($B8="",X8=0,X8&gt;=Setari!$B$7+2000),0,ROUND(MAX(0,(20-0.5*CEILING(MAX(0,X8-Setari!$B$7)/50,1)+CHOOSE(MIN(Personal!J6,4)+1,0,5,10,15,25))*Setari!$B$7/100),0))</f>
        <v/>
      </c>
      <c r="Z8" s="28" t="n"/>
      <c r="AA8" s="26">
        <f>IF($B8="",0,MAX(0,X8-IF(AB8="",0,AB8)-IF(AC8="",0,AC8)-Y8-IF(Z8="",0,Z8)))</f>
        <v/>
      </c>
      <c r="AB8" s="26">
        <f>IF(OR($B8="",X8=0),0,ROUND(X8*Setari!$B$10/100,0))</f>
        <v/>
      </c>
      <c r="AC8" s="26">
        <f>IF(OR($B8="",X8=0),0,ROUND(X8*Setari!$B$11/100,0))</f>
        <v/>
      </c>
      <c r="AD8" s="26">
        <f>IF(OR($B8="",AA8=0),0,ROUND(AA8*Setari!$B$12/100,0))</f>
        <v/>
      </c>
      <c r="AE8" s="26">
        <f>IF($B8="","",IF(AB8="",0,AB8)+IF(AC8="",0,AC8)+IF(AD8="",0,AD8))</f>
        <v/>
      </c>
      <c r="AF8" s="28" t="n"/>
      <c r="AG8" s="28" t="n"/>
      <c r="AH8" s="26">
        <f>IF($B8="","",X8-AE8-IF(AF8="",0,AF8)-IF(AG8="",0,AG8))</f>
        <v/>
      </c>
      <c r="AI8" s="29" t="n"/>
    </row>
    <row r="9" ht="28" customHeight="1">
      <c r="A9" s="11" t="n">
        <v>5</v>
      </c>
      <c r="B9" s="24">
        <f>IF(Personal!B7="","",Personal!B7&amp;CHAR(10)&amp;TEXT(Personal!C7,"0000000000000"))</f>
        <v/>
      </c>
      <c r="C9" s="25">
        <f>IF($B9="","",Personal!G7)</f>
        <v/>
      </c>
      <c r="D9" s="25">
        <f>IF($B9="","",Setari!$B$8*C9)</f>
        <v/>
      </c>
      <c r="E9" s="26">
        <f>IF($B9="","",Pontaj!AI8)</f>
        <v/>
      </c>
      <c r="F9" s="27" t="n"/>
      <c r="G9" s="26">
        <f>IF($B9="","",Pontaj!AJ8)</f>
        <v/>
      </c>
      <c r="H9" s="25">
        <f>IF($B9="","",Pontaj!AN8)</f>
        <v/>
      </c>
      <c r="I9" s="27" t="n"/>
      <c r="J9" s="25">
        <f>IF($B9="","",Pontaj!AL8)</f>
        <v/>
      </c>
      <c r="K9" s="27" t="n"/>
      <c r="L9" s="27" t="n"/>
      <c r="M9" s="27" t="n"/>
      <c r="N9" s="26">
        <f>IF($B9="","",Personal!H7)</f>
        <v/>
      </c>
      <c r="O9" s="26">
        <f>IF(OR($B9="",D9=0),"",ROUND(N9/D9*E9,0))</f>
        <v/>
      </c>
      <c r="P9" s="26">
        <f>IF(OR($B9="",D9=0),"",ROUND(N9*Personal!I7/100/D9*E9,0))</f>
        <v/>
      </c>
      <c r="Q9" s="26">
        <f>IF(OR($B9="",D9=0),"",ROUND(N9/D9*G9,0))</f>
        <v/>
      </c>
      <c r="R9" s="26">
        <f>IF(OR($B9="",D9=0,F9=""),"",ROUND(N9/D9*F9*25/100,0))</f>
        <v/>
      </c>
      <c r="S9" s="26">
        <f>IF(OR($B9="",D9=0,H9=""),"",ROUND(N9/D9*H9*75/100,0))</f>
        <v/>
      </c>
      <c r="T9" s="26">
        <f>IF(OR($B9="",D9=0,I9=""),"",ROUND(N9/D9*I9,0))</f>
        <v/>
      </c>
      <c r="U9" s="28" t="n"/>
      <c r="V9" s="26">
        <f>IF($B9="","",Personal!K7*Pontaj!AM8)</f>
        <v/>
      </c>
      <c r="W9" s="26">
        <f>IF(OR($B9="",Setari!$B$8=0,K9=""),"",ROUND(N9*(1+Personal!I7/100)/Setari!$B$8*K9,0))</f>
        <v/>
      </c>
      <c r="X9" s="26">
        <f>IF($B9="","",ROUND(O9+P9+Q9+IF(R9="",0,R9)+IF(S9="",0,S9)+IF(T9="",0,T9)+IF(U9="",0,U9)+V9+IF(W9="",0,W9),0))</f>
        <v/>
      </c>
      <c r="Y9" s="26">
        <f>IF(OR($B9="",X9=0,X9&gt;=Setari!$B$7+2000),0,ROUND(MAX(0,(20-0.5*CEILING(MAX(0,X9-Setari!$B$7)/50,1)+CHOOSE(MIN(Personal!J7,4)+1,0,5,10,15,25))*Setari!$B$7/100),0))</f>
        <v/>
      </c>
      <c r="Z9" s="28" t="n"/>
      <c r="AA9" s="26">
        <f>IF($B9="",0,MAX(0,X9-IF(AB9="",0,AB9)-IF(AC9="",0,AC9)-Y9-IF(Z9="",0,Z9)))</f>
        <v/>
      </c>
      <c r="AB9" s="26">
        <f>IF(OR($B9="",X9=0),0,ROUND(X9*Setari!$B$10/100,0))</f>
        <v/>
      </c>
      <c r="AC9" s="26">
        <f>IF(OR($B9="",X9=0),0,ROUND(X9*Setari!$B$11/100,0))</f>
        <v/>
      </c>
      <c r="AD9" s="26">
        <f>IF(OR($B9="",AA9=0),0,ROUND(AA9*Setari!$B$12/100,0))</f>
        <v/>
      </c>
      <c r="AE9" s="26">
        <f>IF($B9="","",IF(AB9="",0,AB9)+IF(AC9="",0,AC9)+IF(AD9="",0,AD9))</f>
        <v/>
      </c>
      <c r="AF9" s="28" t="n"/>
      <c r="AG9" s="28" t="n"/>
      <c r="AH9" s="26">
        <f>IF($B9="","",X9-AE9-IF(AF9="",0,AF9)-IF(AG9="",0,AG9))</f>
        <v/>
      </c>
      <c r="AI9" s="29" t="n"/>
    </row>
    <row r="10" ht="28" customHeight="1">
      <c r="A10" s="11" t="n">
        <v>6</v>
      </c>
      <c r="B10" s="24">
        <f>IF(Personal!B8="","",Personal!B8&amp;CHAR(10)&amp;TEXT(Personal!C8,"0000000000000"))</f>
        <v/>
      </c>
      <c r="C10" s="25">
        <f>IF($B10="","",Personal!G8)</f>
        <v/>
      </c>
      <c r="D10" s="25">
        <f>IF($B10="","",Setari!$B$8*C10)</f>
        <v/>
      </c>
      <c r="E10" s="26">
        <f>IF($B10="","",Pontaj!AI9)</f>
        <v/>
      </c>
      <c r="F10" s="27" t="n"/>
      <c r="G10" s="26">
        <f>IF($B10="","",Pontaj!AJ9)</f>
        <v/>
      </c>
      <c r="H10" s="25">
        <f>IF($B10="","",Pontaj!AN9)</f>
        <v/>
      </c>
      <c r="I10" s="27" t="n"/>
      <c r="J10" s="25">
        <f>IF($B10="","",Pontaj!AL9)</f>
        <v/>
      </c>
      <c r="K10" s="27" t="n"/>
      <c r="L10" s="27" t="n"/>
      <c r="M10" s="27" t="n"/>
      <c r="N10" s="26">
        <f>IF($B10="","",Personal!H8)</f>
        <v/>
      </c>
      <c r="O10" s="26">
        <f>IF(OR($B10="",D10=0),"",ROUND(N10/D10*E10,0))</f>
        <v/>
      </c>
      <c r="P10" s="26">
        <f>IF(OR($B10="",D10=0),"",ROUND(N10*Personal!I8/100/D10*E10,0))</f>
        <v/>
      </c>
      <c r="Q10" s="26">
        <f>IF(OR($B10="",D10=0),"",ROUND(N10/D10*G10,0))</f>
        <v/>
      </c>
      <c r="R10" s="26">
        <f>IF(OR($B10="",D10=0,F10=""),"",ROUND(N10/D10*F10*25/100,0))</f>
        <v/>
      </c>
      <c r="S10" s="26">
        <f>IF(OR($B10="",D10=0,H10=""),"",ROUND(N10/D10*H10*75/100,0))</f>
        <v/>
      </c>
      <c r="T10" s="26">
        <f>IF(OR($B10="",D10=0,I10=""),"",ROUND(N10/D10*I10,0))</f>
        <v/>
      </c>
      <c r="U10" s="28" t="n"/>
      <c r="V10" s="26">
        <f>IF($B10="","",Personal!K8*Pontaj!AM9)</f>
        <v/>
      </c>
      <c r="W10" s="26">
        <f>IF(OR($B10="",Setari!$B$8=0,K10=""),"",ROUND(N10*(1+Personal!I8/100)/Setari!$B$8*K10,0))</f>
        <v/>
      </c>
      <c r="X10" s="26">
        <f>IF($B10="","",ROUND(O10+P10+Q10+IF(R10="",0,R10)+IF(S10="",0,S10)+IF(T10="",0,T10)+IF(U10="",0,U10)+V10+IF(W10="",0,W10),0))</f>
        <v/>
      </c>
      <c r="Y10" s="26">
        <f>IF(OR($B10="",X10=0,X10&gt;=Setari!$B$7+2000),0,ROUND(MAX(0,(20-0.5*CEILING(MAX(0,X10-Setari!$B$7)/50,1)+CHOOSE(MIN(Personal!J8,4)+1,0,5,10,15,25))*Setari!$B$7/100),0))</f>
        <v/>
      </c>
      <c r="Z10" s="28" t="n"/>
      <c r="AA10" s="26">
        <f>IF($B10="",0,MAX(0,X10-IF(AB10="",0,AB10)-IF(AC10="",0,AC10)-Y10-IF(Z10="",0,Z10)))</f>
        <v/>
      </c>
      <c r="AB10" s="26">
        <f>IF(OR($B10="",X10=0),0,ROUND(X10*Setari!$B$10/100,0))</f>
        <v/>
      </c>
      <c r="AC10" s="26">
        <f>IF(OR($B10="",X10=0),0,ROUND(X10*Setari!$B$11/100,0))</f>
        <v/>
      </c>
      <c r="AD10" s="26">
        <f>IF(OR($B10="",AA10=0),0,ROUND(AA10*Setari!$B$12/100,0))</f>
        <v/>
      </c>
      <c r="AE10" s="26">
        <f>IF($B10="","",IF(AB10="",0,AB10)+IF(AC10="",0,AC10)+IF(AD10="",0,AD10))</f>
        <v/>
      </c>
      <c r="AF10" s="28" t="n"/>
      <c r="AG10" s="28" t="n"/>
      <c r="AH10" s="26">
        <f>IF($B10="","",X10-AE10-IF(AF10="",0,AF10)-IF(AG10="",0,AG10))</f>
        <v/>
      </c>
      <c r="AI10" s="29" t="n"/>
    </row>
    <row r="11" ht="28" customHeight="1">
      <c r="A11" s="11" t="n">
        <v>7</v>
      </c>
      <c r="B11" s="24">
        <f>IF(Personal!B9="","",Personal!B9&amp;CHAR(10)&amp;TEXT(Personal!C9,"0000000000000"))</f>
        <v/>
      </c>
      <c r="C11" s="25">
        <f>IF($B11="","",Personal!G9)</f>
        <v/>
      </c>
      <c r="D11" s="25">
        <f>IF($B11="","",Setari!$B$8*C11)</f>
        <v/>
      </c>
      <c r="E11" s="26">
        <f>IF($B11="","",Pontaj!AI10)</f>
        <v/>
      </c>
      <c r="F11" s="27" t="n"/>
      <c r="G11" s="26">
        <f>IF($B11="","",Pontaj!AJ10)</f>
        <v/>
      </c>
      <c r="H11" s="25">
        <f>IF($B11="","",Pontaj!AN10)</f>
        <v/>
      </c>
      <c r="I11" s="27" t="n"/>
      <c r="J11" s="25">
        <f>IF($B11="","",Pontaj!AL10)</f>
        <v/>
      </c>
      <c r="K11" s="27" t="n"/>
      <c r="L11" s="27" t="n"/>
      <c r="M11" s="27" t="n"/>
      <c r="N11" s="26">
        <f>IF($B11="","",Personal!H9)</f>
        <v/>
      </c>
      <c r="O11" s="26">
        <f>IF(OR($B11="",D11=0),"",ROUND(N11/D11*E11,0))</f>
        <v/>
      </c>
      <c r="P11" s="26">
        <f>IF(OR($B11="",D11=0),"",ROUND(N11*Personal!I9/100/D11*E11,0))</f>
        <v/>
      </c>
      <c r="Q11" s="26">
        <f>IF(OR($B11="",D11=0),"",ROUND(N11/D11*G11,0))</f>
        <v/>
      </c>
      <c r="R11" s="26">
        <f>IF(OR($B11="",D11=0,F11=""),"",ROUND(N11/D11*F11*25/100,0))</f>
        <v/>
      </c>
      <c r="S11" s="26">
        <f>IF(OR($B11="",D11=0,H11=""),"",ROUND(N11/D11*H11*75/100,0))</f>
        <v/>
      </c>
      <c r="T11" s="26">
        <f>IF(OR($B11="",D11=0,I11=""),"",ROUND(N11/D11*I11,0))</f>
        <v/>
      </c>
      <c r="U11" s="28" t="n"/>
      <c r="V11" s="26">
        <f>IF($B11="","",Personal!K9*Pontaj!AM10)</f>
        <v/>
      </c>
      <c r="W11" s="26">
        <f>IF(OR($B11="",Setari!$B$8=0,K11=""),"",ROUND(N11*(1+Personal!I9/100)/Setari!$B$8*K11,0))</f>
        <v/>
      </c>
      <c r="X11" s="26">
        <f>IF($B11="","",ROUND(O11+P11+Q11+IF(R11="",0,R11)+IF(S11="",0,S11)+IF(T11="",0,T11)+IF(U11="",0,U11)+V11+IF(W11="",0,W11),0))</f>
        <v/>
      </c>
      <c r="Y11" s="26">
        <f>IF(OR($B11="",X11=0,X11&gt;=Setari!$B$7+2000),0,ROUND(MAX(0,(20-0.5*CEILING(MAX(0,X11-Setari!$B$7)/50,1)+CHOOSE(MIN(Personal!J9,4)+1,0,5,10,15,25))*Setari!$B$7/100),0))</f>
        <v/>
      </c>
      <c r="Z11" s="28" t="n"/>
      <c r="AA11" s="26">
        <f>IF($B11="",0,MAX(0,X11-IF(AB11="",0,AB11)-IF(AC11="",0,AC11)-Y11-IF(Z11="",0,Z11)))</f>
        <v/>
      </c>
      <c r="AB11" s="26">
        <f>IF(OR($B11="",X11=0),0,ROUND(X11*Setari!$B$10/100,0))</f>
        <v/>
      </c>
      <c r="AC11" s="26">
        <f>IF(OR($B11="",X11=0),0,ROUND(X11*Setari!$B$11/100,0))</f>
        <v/>
      </c>
      <c r="AD11" s="26">
        <f>IF(OR($B11="",AA11=0),0,ROUND(AA11*Setari!$B$12/100,0))</f>
        <v/>
      </c>
      <c r="AE11" s="26">
        <f>IF($B11="","",IF(AB11="",0,AB11)+IF(AC11="",0,AC11)+IF(AD11="",0,AD11))</f>
        <v/>
      </c>
      <c r="AF11" s="28" t="n"/>
      <c r="AG11" s="28" t="n"/>
      <c r="AH11" s="26">
        <f>IF($B11="","",X11-AE11-IF(AF11="",0,AF11)-IF(AG11="",0,AG11))</f>
        <v/>
      </c>
      <c r="AI11" s="29" t="n"/>
    </row>
    <row r="12" ht="28" customHeight="1">
      <c r="A12" s="11" t="n">
        <v>8</v>
      </c>
      <c r="B12" s="24">
        <f>IF(Personal!B10="","",Personal!B10&amp;CHAR(10)&amp;TEXT(Personal!C10,"0000000000000"))</f>
        <v/>
      </c>
      <c r="C12" s="25">
        <f>IF($B12="","",Personal!G10)</f>
        <v/>
      </c>
      <c r="D12" s="25">
        <f>IF($B12="","",Setari!$B$8*C12)</f>
        <v/>
      </c>
      <c r="E12" s="26">
        <f>IF($B12="","",Pontaj!AI11)</f>
        <v/>
      </c>
      <c r="F12" s="27" t="n"/>
      <c r="G12" s="26">
        <f>IF($B12="","",Pontaj!AJ11)</f>
        <v/>
      </c>
      <c r="H12" s="25">
        <f>IF($B12="","",Pontaj!AN11)</f>
        <v/>
      </c>
      <c r="I12" s="27" t="n"/>
      <c r="J12" s="25">
        <f>IF($B12="","",Pontaj!AL11)</f>
        <v/>
      </c>
      <c r="K12" s="27" t="n"/>
      <c r="L12" s="27" t="n"/>
      <c r="M12" s="27" t="n"/>
      <c r="N12" s="26">
        <f>IF($B12="","",Personal!H10)</f>
        <v/>
      </c>
      <c r="O12" s="26">
        <f>IF(OR($B12="",D12=0),"",ROUND(N12/D12*E12,0))</f>
        <v/>
      </c>
      <c r="P12" s="26">
        <f>IF(OR($B12="",D12=0),"",ROUND(N12*Personal!I10/100/D12*E12,0))</f>
        <v/>
      </c>
      <c r="Q12" s="26">
        <f>IF(OR($B12="",D12=0),"",ROUND(N12/D12*G12,0))</f>
        <v/>
      </c>
      <c r="R12" s="26">
        <f>IF(OR($B12="",D12=0,F12=""),"",ROUND(N12/D12*F12*25/100,0))</f>
        <v/>
      </c>
      <c r="S12" s="26">
        <f>IF(OR($B12="",D12=0,H12=""),"",ROUND(N12/D12*H12*75/100,0))</f>
        <v/>
      </c>
      <c r="T12" s="26">
        <f>IF(OR($B12="",D12=0,I12=""),"",ROUND(N12/D12*I12,0))</f>
        <v/>
      </c>
      <c r="U12" s="28" t="n"/>
      <c r="V12" s="26">
        <f>IF($B12="","",Personal!K10*Pontaj!AM11)</f>
        <v/>
      </c>
      <c r="W12" s="26">
        <f>IF(OR($B12="",Setari!$B$8=0,K12=""),"",ROUND(N12*(1+Personal!I10/100)/Setari!$B$8*K12,0))</f>
        <v/>
      </c>
      <c r="X12" s="26">
        <f>IF($B12="","",ROUND(O12+P12+Q12+IF(R12="",0,R12)+IF(S12="",0,S12)+IF(T12="",0,T12)+IF(U12="",0,U12)+V12+IF(W12="",0,W12),0))</f>
        <v/>
      </c>
      <c r="Y12" s="26">
        <f>IF(OR($B12="",X12=0,X12&gt;=Setari!$B$7+2000),0,ROUND(MAX(0,(20-0.5*CEILING(MAX(0,X12-Setari!$B$7)/50,1)+CHOOSE(MIN(Personal!J10,4)+1,0,5,10,15,25))*Setari!$B$7/100),0))</f>
        <v/>
      </c>
      <c r="Z12" s="28" t="n"/>
      <c r="AA12" s="26">
        <f>IF($B12="",0,MAX(0,X12-IF(AB12="",0,AB12)-IF(AC12="",0,AC12)-Y12-IF(Z12="",0,Z12)))</f>
        <v/>
      </c>
      <c r="AB12" s="26">
        <f>IF(OR($B12="",X12=0),0,ROUND(X12*Setari!$B$10/100,0))</f>
        <v/>
      </c>
      <c r="AC12" s="26">
        <f>IF(OR($B12="",X12=0),0,ROUND(X12*Setari!$B$11/100,0))</f>
        <v/>
      </c>
      <c r="AD12" s="26">
        <f>IF(OR($B12="",AA12=0),0,ROUND(AA12*Setari!$B$12/100,0))</f>
        <v/>
      </c>
      <c r="AE12" s="26">
        <f>IF($B12="","",IF(AB12="",0,AB12)+IF(AC12="",0,AC12)+IF(AD12="",0,AD12))</f>
        <v/>
      </c>
      <c r="AF12" s="28" t="n"/>
      <c r="AG12" s="28" t="n"/>
      <c r="AH12" s="26">
        <f>IF($B12="","",X12-AE12-IF(AF12="",0,AF12)-IF(AG12="",0,AG12))</f>
        <v/>
      </c>
      <c r="AI12" s="29" t="n"/>
    </row>
    <row r="13" ht="28" customHeight="1">
      <c r="A13" s="11" t="n">
        <v>9</v>
      </c>
      <c r="B13" s="24">
        <f>IF(Personal!B11="","",Personal!B11&amp;CHAR(10)&amp;TEXT(Personal!C11,"0000000000000"))</f>
        <v/>
      </c>
      <c r="C13" s="25">
        <f>IF($B13="","",Personal!G11)</f>
        <v/>
      </c>
      <c r="D13" s="25">
        <f>IF($B13="","",Setari!$B$8*C13)</f>
        <v/>
      </c>
      <c r="E13" s="26">
        <f>IF($B13="","",Pontaj!AI12)</f>
        <v/>
      </c>
      <c r="F13" s="27" t="n"/>
      <c r="G13" s="26">
        <f>IF($B13="","",Pontaj!AJ12)</f>
        <v/>
      </c>
      <c r="H13" s="25">
        <f>IF($B13="","",Pontaj!AN12)</f>
        <v/>
      </c>
      <c r="I13" s="27" t="n"/>
      <c r="J13" s="25">
        <f>IF($B13="","",Pontaj!AL12)</f>
        <v/>
      </c>
      <c r="K13" s="27" t="n"/>
      <c r="L13" s="27" t="n"/>
      <c r="M13" s="27" t="n"/>
      <c r="N13" s="26">
        <f>IF($B13="","",Personal!H11)</f>
        <v/>
      </c>
      <c r="O13" s="26">
        <f>IF(OR($B13="",D13=0),"",ROUND(N13/D13*E13,0))</f>
        <v/>
      </c>
      <c r="P13" s="26">
        <f>IF(OR($B13="",D13=0),"",ROUND(N13*Personal!I11/100/D13*E13,0))</f>
        <v/>
      </c>
      <c r="Q13" s="26">
        <f>IF(OR($B13="",D13=0),"",ROUND(N13/D13*G13,0))</f>
        <v/>
      </c>
      <c r="R13" s="26">
        <f>IF(OR($B13="",D13=0,F13=""),"",ROUND(N13/D13*F13*25/100,0))</f>
        <v/>
      </c>
      <c r="S13" s="26">
        <f>IF(OR($B13="",D13=0,H13=""),"",ROUND(N13/D13*H13*75/100,0))</f>
        <v/>
      </c>
      <c r="T13" s="26">
        <f>IF(OR($B13="",D13=0,I13=""),"",ROUND(N13/D13*I13,0))</f>
        <v/>
      </c>
      <c r="U13" s="28" t="n"/>
      <c r="V13" s="26">
        <f>IF($B13="","",Personal!K11*Pontaj!AM12)</f>
        <v/>
      </c>
      <c r="W13" s="26">
        <f>IF(OR($B13="",Setari!$B$8=0,K13=""),"",ROUND(N13*(1+Personal!I11/100)/Setari!$B$8*K13,0))</f>
        <v/>
      </c>
      <c r="X13" s="26">
        <f>IF($B13="","",ROUND(O13+P13+Q13+IF(R13="",0,R13)+IF(S13="",0,S13)+IF(T13="",0,T13)+IF(U13="",0,U13)+V13+IF(W13="",0,W13),0))</f>
        <v/>
      </c>
      <c r="Y13" s="26">
        <f>IF(OR($B13="",X13=0,X13&gt;=Setari!$B$7+2000),0,ROUND(MAX(0,(20-0.5*CEILING(MAX(0,X13-Setari!$B$7)/50,1)+CHOOSE(MIN(Personal!J11,4)+1,0,5,10,15,25))*Setari!$B$7/100),0))</f>
        <v/>
      </c>
      <c r="Z13" s="28" t="n"/>
      <c r="AA13" s="26">
        <f>IF($B13="",0,MAX(0,X13-IF(AB13="",0,AB13)-IF(AC13="",0,AC13)-Y13-IF(Z13="",0,Z13)))</f>
        <v/>
      </c>
      <c r="AB13" s="26">
        <f>IF(OR($B13="",X13=0),0,ROUND(X13*Setari!$B$10/100,0))</f>
        <v/>
      </c>
      <c r="AC13" s="26">
        <f>IF(OR($B13="",X13=0),0,ROUND(X13*Setari!$B$11/100,0))</f>
        <v/>
      </c>
      <c r="AD13" s="26">
        <f>IF(OR($B13="",AA13=0),0,ROUND(AA13*Setari!$B$12/100,0))</f>
        <v/>
      </c>
      <c r="AE13" s="26">
        <f>IF($B13="","",IF(AB13="",0,AB13)+IF(AC13="",0,AC13)+IF(AD13="",0,AD13))</f>
        <v/>
      </c>
      <c r="AF13" s="28" t="n"/>
      <c r="AG13" s="28" t="n"/>
      <c r="AH13" s="26">
        <f>IF($B13="","",X13-AE13-IF(AF13="",0,AF13)-IF(AG13="",0,AG13))</f>
        <v/>
      </c>
      <c r="AI13" s="29" t="n"/>
    </row>
    <row r="14" ht="28" customHeight="1">
      <c r="A14" s="11" t="n">
        <v>10</v>
      </c>
      <c r="B14" s="24">
        <f>IF(Personal!B12="","",Personal!B12&amp;CHAR(10)&amp;TEXT(Personal!C12,"0000000000000"))</f>
        <v/>
      </c>
      <c r="C14" s="25">
        <f>IF($B14="","",Personal!G12)</f>
        <v/>
      </c>
      <c r="D14" s="25">
        <f>IF($B14="","",Setari!$B$8*C14)</f>
        <v/>
      </c>
      <c r="E14" s="26">
        <f>IF($B14="","",Pontaj!AI13)</f>
        <v/>
      </c>
      <c r="F14" s="27" t="n"/>
      <c r="G14" s="26">
        <f>IF($B14="","",Pontaj!AJ13)</f>
        <v/>
      </c>
      <c r="H14" s="25">
        <f>IF($B14="","",Pontaj!AN13)</f>
        <v/>
      </c>
      <c r="I14" s="27" t="n"/>
      <c r="J14" s="25">
        <f>IF($B14="","",Pontaj!AL13)</f>
        <v/>
      </c>
      <c r="K14" s="27" t="n"/>
      <c r="L14" s="27" t="n"/>
      <c r="M14" s="27" t="n"/>
      <c r="N14" s="26">
        <f>IF($B14="","",Personal!H12)</f>
        <v/>
      </c>
      <c r="O14" s="26">
        <f>IF(OR($B14="",D14=0),"",ROUND(N14/D14*E14,0))</f>
        <v/>
      </c>
      <c r="P14" s="26">
        <f>IF(OR($B14="",D14=0),"",ROUND(N14*Personal!I12/100/D14*E14,0))</f>
        <v/>
      </c>
      <c r="Q14" s="26">
        <f>IF(OR($B14="",D14=0),"",ROUND(N14/D14*G14,0))</f>
        <v/>
      </c>
      <c r="R14" s="26">
        <f>IF(OR($B14="",D14=0,F14=""),"",ROUND(N14/D14*F14*25/100,0))</f>
        <v/>
      </c>
      <c r="S14" s="26">
        <f>IF(OR($B14="",D14=0,H14=""),"",ROUND(N14/D14*H14*75/100,0))</f>
        <v/>
      </c>
      <c r="T14" s="26">
        <f>IF(OR($B14="",D14=0,I14=""),"",ROUND(N14/D14*I14,0))</f>
        <v/>
      </c>
      <c r="U14" s="28" t="n"/>
      <c r="V14" s="26">
        <f>IF($B14="","",Personal!K12*Pontaj!AM13)</f>
        <v/>
      </c>
      <c r="W14" s="26">
        <f>IF(OR($B14="",Setari!$B$8=0,K14=""),"",ROUND(N14*(1+Personal!I12/100)/Setari!$B$8*K14,0))</f>
        <v/>
      </c>
      <c r="X14" s="26">
        <f>IF($B14="","",ROUND(O14+P14+Q14+IF(R14="",0,R14)+IF(S14="",0,S14)+IF(T14="",0,T14)+IF(U14="",0,U14)+V14+IF(W14="",0,W14),0))</f>
        <v/>
      </c>
      <c r="Y14" s="26">
        <f>IF(OR($B14="",X14=0,X14&gt;=Setari!$B$7+2000),0,ROUND(MAX(0,(20-0.5*CEILING(MAX(0,X14-Setari!$B$7)/50,1)+CHOOSE(MIN(Personal!J12,4)+1,0,5,10,15,25))*Setari!$B$7/100),0))</f>
        <v/>
      </c>
      <c r="Z14" s="28" t="n"/>
      <c r="AA14" s="26">
        <f>IF($B14="",0,MAX(0,X14-IF(AB14="",0,AB14)-IF(AC14="",0,AC14)-Y14-IF(Z14="",0,Z14)))</f>
        <v/>
      </c>
      <c r="AB14" s="26">
        <f>IF(OR($B14="",X14=0),0,ROUND(X14*Setari!$B$10/100,0))</f>
        <v/>
      </c>
      <c r="AC14" s="26">
        <f>IF(OR($B14="",X14=0),0,ROUND(X14*Setari!$B$11/100,0))</f>
        <v/>
      </c>
      <c r="AD14" s="26">
        <f>IF(OR($B14="",AA14=0),0,ROUND(AA14*Setari!$B$12/100,0))</f>
        <v/>
      </c>
      <c r="AE14" s="26">
        <f>IF($B14="","",IF(AB14="",0,AB14)+IF(AC14="",0,AC14)+IF(AD14="",0,AD14))</f>
        <v/>
      </c>
      <c r="AF14" s="28" t="n"/>
      <c r="AG14" s="28" t="n"/>
      <c r="AH14" s="26">
        <f>IF($B14="","",X14-AE14-IF(AF14="",0,AF14)-IF(AG14="",0,AG14))</f>
        <v/>
      </c>
      <c r="AI14" s="29" t="n"/>
    </row>
    <row r="15" ht="24" customHeight="1">
      <c r="A15" s="19" t="n"/>
      <c r="B15" s="3" t="inlineStr">
        <is>
          <t>TOTAL</t>
        </is>
      </c>
      <c r="C15" s="30">
        <f>SUM(C5:C14)</f>
        <v/>
      </c>
      <c r="D15" s="30">
        <f>SUM(D5:D14)</f>
        <v/>
      </c>
      <c r="E15" s="20">
        <f>SUM(E5:E14)</f>
        <v/>
      </c>
      <c r="F15" s="30">
        <f>SUM(F5:F14)</f>
        <v/>
      </c>
      <c r="G15" s="20">
        <f>SUM(G5:G14)</f>
        <v/>
      </c>
      <c r="H15" s="30">
        <f>SUM(H5:H14)</f>
        <v/>
      </c>
      <c r="I15" s="30">
        <f>SUM(I5:I14)</f>
        <v/>
      </c>
      <c r="J15" s="30">
        <f>SUM(J5:J14)</f>
        <v/>
      </c>
      <c r="K15" s="30">
        <f>SUM(K5:K14)</f>
        <v/>
      </c>
      <c r="L15" s="30">
        <f>SUM(L5:L14)</f>
        <v/>
      </c>
      <c r="M15" s="30">
        <f>SUM(M5:M14)</f>
        <v/>
      </c>
      <c r="N15" s="20">
        <f>SUM(N5:N14)</f>
        <v/>
      </c>
      <c r="O15" s="20">
        <f>SUM(O5:O14)</f>
        <v/>
      </c>
      <c r="P15" s="20">
        <f>SUM(P5:P14)</f>
        <v/>
      </c>
      <c r="Q15" s="20">
        <f>SUM(Q5:Q14)</f>
        <v/>
      </c>
      <c r="R15" s="20">
        <f>SUM(R5:R14)</f>
        <v/>
      </c>
      <c r="S15" s="20">
        <f>SUM(S5:S14)</f>
        <v/>
      </c>
      <c r="T15" s="20">
        <f>SUM(T5:T14)</f>
        <v/>
      </c>
      <c r="U15" s="20">
        <f>SUM(U5:U14)</f>
        <v/>
      </c>
      <c r="V15" s="20">
        <f>SUM(V5:V14)</f>
        <v/>
      </c>
      <c r="W15" s="20">
        <f>SUM(W5:W14)</f>
        <v/>
      </c>
      <c r="X15" s="20">
        <f>SUM(X5:X14)</f>
        <v/>
      </c>
      <c r="Y15" s="20">
        <f>SUM(Y5:Y14)</f>
        <v/>
      </c>
      <c r="Z15" s="20">
        <f>SUM(Z5:Z14)</f>
        <v/>
      </c>
      <c r="AA15" s="20">
        <f>SUM(AA5:AA14)</f>
        <v/>
      </c>
      <c r="AB15" s="20">
        <f>SUM(AB5:AB14)</f>
        <v/>
      </c>
      <c r="AC15" s="20">
        <f>SUM(AC5:AC14)</f>
        <v/>
      </c>
      <c r="AD15" s="20">
        <f>SUM(AD5:AD14)</f>
        <v/>
      </c>
      <c r="AE15" s="20">
        <f>SUM(AE5:AE14)</f>
        <v/>
      </c>
      <c r="AF15" s="20">
        <f>SUM(AF5:AF14)</f>
        <v/>
      </c>
      <c r="AG15" s="20">
        <f>SUM(AG5:AG14)</f>
        <v/>
      </c>
      <c r="AH15" s="20">
        <f>SUM(AH5:AH14)</f>
        <v/>
      </c>
      <c r="AI15" s="31" t="n"/>
    </row>
    <row r="18">
      <c r="AB18" s="32">
        <f>IF(Setari!B4="","","Director: ___________________")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0D0"/>
  <mergeCells count="16">
    <mergeCell ref="C3:I3"/>
    <mergeCell ref="Y3:Z3"/>
    <mergeCell ref="B3:B4"/>
    <mergeCell ref="AA3:AA4"/>
    <mergeCell ref="A3:A4"/>
    <mergeCell ref="A1:AI1"/>
    <mergeCell ref="AE3:AE4"/>
    <mergeCell ref="AF3:AF4"/>
    <mergeCell ref="AG3:AG4"/>
    <mergeCell ref="AH3:AH4"/>
    <mergeCell ref="X3:X4"/>
    <mergeCell ref="AI3:AI4"/>
    <mergeCell ref="J3:M3"/>
    <mergeCell ref="N3:W3"/>
    <mergeCell ref="AB3:AD3"/>
    <mergeCell ref="AB18:AI18"/>
  </mergeCells>
  <pageMargins left="0.3" right="0.3" top="0.4" bottom="0.4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2026-04-12T16:42:16Z</dcterms:created>
  <dcterms:modified xmlns:dcterms="http://purl.org/dc/terms/" xmlns:xsi="http://www.w3.org/2001/XMLSchema-instance" xsi:type="dcterms:W3CDTF">2026-04-12T16:42:17Z</dcterms:modified>
</cp:coreProperties>
</file>